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สำรองงานแป้ง 5ม.ค.64\2.ระดมกวาดล้าง\ระดมห้วง 23-30 ก.ย.64\"/>
    </mc:Choice>
  </mc:AlternateContent>
  <bookViews>
    <workbookView xWindow="0" yWindow="0" windowWidth="21600" windowHeight="9780" tabRatio="705" firstSheet="1" activeTab="5"/>
  </bookViews>
  <sheets>
    <sheet name="Total ReportOld" sheetId="3" state="hidden" r:id="rId1"/>
    <sheet name="รวมคะแนน" sheetId="8" r:id="rId2"/>
    <sheet name="สรุปคะแนน" sheetId="51" r:id="rId3"/>
    <sheet name="ทั่วไป" sheetId="4" r:id="rId4"/>
    <sheet name="เทคโนโลยี" sheetId="47" r:id="rId5"/>
    <sheet name="ชาร์ตคะแนน" sheetId="7" r:id="rId6"/>
    <sheet name="สรุป 1+2" sheetId="48" r:id="rId7"/>
    <sheet name="สรุป 1" sheetId="49" r:id="rId8"/>
    <sheet name="สรุป 2" sheetId="50" r:id="rId9"/>
    <sheet name="24" sheetId="9" state="hidden" r:id="rId10"/>
    <sheet name="25" sheetId="10" state="hidden" r:id="rId11"/>
    <sheet name="26" sheetId="11" state="hidden" r:id="rId12"/>
    <sheet name="27" sheetId="12" state="hidden" r:id="rId13"/>
    <sheet name="28" sheetId="13" state="hidden" r:id="rId14"/>
    <sheet name="บช.น." sheetId="14" state="hidden" r:id="rId15"/>
    <sheet name="Test" sheetId="15" state="hidden" r:id="rId16"/>
    <sheet name="dบช.น." sheetId="16" state="hidden" r:id="rId17"/>
    <sheet name="ภ.1" sheetId="17" state="hidden" r:id="rId18"/>
    <sheet name="ภ.2" sheetId="18" state="hidden" r:id="rId19"/>
    <sheet name="ภ.3" sheetId="19" state="hidden" r:id="rId20"/>
    <sheet name="ภ.4" sheetId="20" state="hidden" r:id="rId21"/>
    <sheet name="ภ.5" sheetId="21" state="hidden" r:id="rId22"/>
    <sheet name="ภ.6" sheetId="22" state="hidden" r:id="rId23"/>
    <sheet name="ภ.7" sheetId="23" state="hidden" r:id="rId24"/>
    <sheet name="ภ.8" sheetId="24" state="hidden" r:id="rId25"/>
    <sheet name="ภ.9" sheetId="25" state="hidden" r:id="rId26"/>
    <sheet name="บช.ก." sheetId="26" state="hidden" r:id="rId27"/>
    <sheet name="บช.สอท." sheetId="27" state="hidden" r:id="rId28"/>
    <sheet name="บช.ปส." sheetId="28" state="hidden" r:id="rId29"/>
    <sheet name="สตม." sheetId="29" state="hidden" r:id="rId30"/>
    <sheet name="บช.ทท." sheetId="30" state="hidden" r:id="rId31"/>
    <sheet name="บช.ตชด." sheetId="31" state="hidden" r:id="rId32"/>
    <sheet name="dภ.1" sheetId="32" state="hidden" r:id="rId33"/>
    <sheet name="dภ.2" sheetId="33" state="hidden" r:id="rId34"/>
    <sheet name="dภ.3" sheetId="34" state="hidden" r:id="rId35"/>
    <sheet name="dภ.4" sheetId="35" state="hidden" r:id="rId36"/>
    <sheet name="dภ.5" sheetId="36" state="hidden" r:id="rId37"/>
    <sheet name="dภ.6" sheetId="37" state="hidden" r:id="rId38"/>
    <sheet name="dภ.7" sheetId="38" state="hidden" r:id="rId39"/>
    <sheet name="dภ.8" sheetId="39" state="hidden" r:id="rId40"/>
    <sheet name="dภ.9" sheetId="40" state="hidden" r:id="rId41"/>
    <sheet name="dบช.ก." sheetId="41" state="hidden" r:id="rId42"/>
    <sheet name="dบช.สอท." sheetId="42" state="hidden" r:id="rId43"/>
    <sheet name="dบช.ปส." sheetId="43" state="hidden" r:id="rId44"/>
    <sheet name="dสตม." sheetId="44" state="hidden" r:id="rId45"/>
    <sheet name="dบช.ทท." sheetId="45" state="hidden" r:id="rId46"/>
    <sheet name="dบช.ตชด." sheetId="46" state="hidden" r:id="rId47"/>
  </sheets>
  <externalReferences>
    <externalReference r:id="rId48"/>
  </externalReferences>
  <definedNames>
    <definedName name="_xlnm.Print_Area" localSheetId="4">เทคโนโลยี!$A$1:$AY$35</definedName>
    <definedName name="_xlnm.Print_Area" localSheetId="7">'สรุป 1'!$A$1:$AY$39</definedName>
    <definedName name="_xlnm.Print_Area" localSheetId="8">'สรุป 2'!$A$1:$C$38</definedName>
    <definedName name="_xlnm.Print_Area" localSheetId="2">สรุปคะแนน!$A$1:$J$21</definedName>
    <definedName name="_xlnm.Print_Titles" localSheetId="4">เทคโนโลยี!$A:$A</definedName>
    <definedName name="_xlnm.Print_Titles" localSheetId="1">รวมคะแนน!$A:$A,รวมคะแนน!$1:$1</definedName>
  </definedNames>
  <calcPr calcId="152511"/>
  <customWorkbookViews>
    <customWorkbookView name="Filter 1" guid="{946CCDB9-1BFC-4667-B224-C3F2F3501C7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51" l="1"/>
  <c r="J9" i="51"/>
  <c r="J10" i="51"/>
  <c r="J11" i="51"/>
  <c r="J12" i="51"/>
  <c r="J13" i="51"/>
  <c r="J14" i="51"/>
  <c r="J15" i="51"/>
  <c r="J16" i="51"/>
  <c r="J17" i="51"/>
  <c r="J18" i="51"/>
  <c r="J19" i="51"/>
  <c r="J20" i="51"/>
  <c r="J21" i="51"/>
  <c r="J7" i="51"/>
  <c r="J6" i="51"/>
  <c r="AY12" i="48"/>
  <c r="AX12" i="48"/>
  <c r="C38" i="50" l="1"/>
  <c r="B38" i="50"/>
  <c r="AX36" i="50"/>
  <c r="AW36" i="50"/>
  <c r="AY36" i="50" s="1"/>
  <c r="AU36" i="50"/>
  <c r="AT36" i="50"/>
  <c r="AV36" i="50" s="1"/>
  <c r="AR36" i="50"/>
  <c r="AQ36" i="50"/>
  <c r="AS36" i="50" s="1"/>
  <c r="AO36" i="50"/>
  <c r="AN36" i="50"/>
  <c r="AP36" i="50" s="1"/>
  <c r="AM36" i="50"/>
  <c r="AL36" i="50"/>
  <c r="AK36" i="50"/>
  <c r="AI36" i="50"/>
  <c r="AH36" i="50"/>
  <c r="AJ36" i="50" s="1"/>
  <c r="AF36" i="50"/>
  <c r="AE36" i="50"/>
  <c r="AG36" i="50" s="1"/>
  <c r="AC36" i="50"/>
  <c r="AB36" i="50"/>
  <c r="AD36" i="50" s="1"/>
  <c r="Z36" i="50"/>
  <c r="Y36" i="50"/>
  <c r="AA36" i="50" s="1"/>
  <c r="W36" i="50"/>
  <c r="V36" i="50"/>
  <c r="X36" i="50" s="1"/>
  <c r="T36" i="50"/>
  <c r="S36" i="50"/>
  <c r="U36" i="50" s="1"/>
  <c r="Q36" i="50"/>
  <c r="P36" i="50"/>
  <c r="R36" i="50" s="1"/>
  <c r="N36" i="50"/>
  <c r="M36" i="50"/>
  <c r="O36" i="50" s="1"/>
  <c r="K36" i="50"/>
  <c r="J36" i="50"/>
  <c r="L36" i="50" s="1"/>
  <c r="H36" i="50"/>
  <c r="G36" i="50"/>
  <c r="I36" i="50" s="1"/>
  <c r="E36" i="50"/>
  <c r="D36" i="50"/>
  <c r="F36" i="50" s="1"/>
  <c r="AX35" i="50"/>
  <c r="AW35" i="50"/>
  <c r="AU35" i="50"/>
  <c r="AT35" i="50"/>
  <c r="AV35" i="50" s="1"/>
  <c r="AR35" i="50"/>
  <c r="AQ35" i="50"/>
  <c r="AS35" i="50" s="1"/>
  <c r="AO35" i="50"/>
  <c r="AN35" i="50"/>
  <c r="AP35" i="50" s="1"/>
  <c r="AL35" i="50"/>
  <c r="AK35" i="50"/>
  <c r="AM35" i="50" s="1"/>
  <c r="AI35" i="50"/>
  <c r="AH35" i="50"/>
  <c r="AJ35" i="50" s="1"/>
  <c r="AG35" i="50"/>
  <c r="AF35" i="50"/>
  <c r="AE35" i="50"/>
  <c r="AC35" i="50"/>
  <c r="AB35" i="50"/>
  <c r="AD35" i="50" s="1"/>
  <c r="Z35" i="50"/>
  <c r="Y35" i="50"/>
  <c r="AA35" i="50" s="1"/>
  <c r="W35" i="50"/>
  <c r="V35" i="50"/>
  <c r="X35" i="50" s="1"/>
  <c r="T35" i="50"/>
  <c r="S35" i="50"/>
  <c r="U35" i="50" s="1"/>
  <c r="Q35" i="50"/>
  <c r="P35" i="50"/>
  <c r="R35" i="50" s="1"/>
  <c r="N35" i="50"/>
  <c r="M35" i="50"/>
  <c r="K35" i="50"/>
  <c r="J35" i="50"/>
  <c r="L35" i="50" s="1"/>
  <c r="H35" i="50"/>
  <c r="G35" i="50"/>
  <c r="I35" i="50" s="1"/>
  <c r="E35" i="50"/>
  <c r="D35" i="50"/>
  <c r="F35" i="50" s="1"/>
  <c r="AX34" i="50"/>
  <c r="AX37" i="50" s="1"/>
  <c r="AW34" i="50"/>
  <c r="AY34" i="50" s="1"/>
  <c r="AU34" i="50"/>
  <c r="AT34" i="50"/>
  <c r="AV34" i="50" s="1"/>
  <c r="AV37" i="50" s="1"/>
  <c r="AR34" i="50"/>
  <c r="AQ34" i="50"/>
  <c r="AO34" i="50"/>
  <c r="AO37" i="50" s="1"/>
  <c r="AN34" i="50"/>
  <c r="AN37" i="50" s="1"/>
  <c r="AM34" i="50"/>
  <c r="AL34" i="50"/>
  <c r="AK34" i="50"/>
  <c r="AI34" i="50"/>
  <c r="AH34" i="50"/>
  <c r="AH37" i="50" s="1"/>
  <c r="AF34" i="50"/>
  <c r="AE34" i="50"/>
  <c r="AC34" i="50"/>
  <c r="AC37" i="50" s="1"/>
  <c r="AB34" i="50"/>
  <c r="AB37" i="50" s="1"/>
  <c r="Z34" i="50"/>
  <c r="Z37" i="50" s="1"/>
  <c r="Y34" i="50"/>
  <c r="AA34" i="50" s="1"/>
  <c r="W34" i="50"/>
  <c r="W37" i="50" s="1"/>
  <c r="V34" i="50"/>
  <c r="X34" i="50" s="1"/>
  <c r="X37" i="50" s="1"/>
  <c r="T34" i="50"/>
  <c r="S34" i="50"/>
  <c r="Q34" i="50"/>
  <c r="P34" i="50"/>
  <c r="P37" i="50" s="1"/>
  <c r="N34" i="50"/>
  <c r="M34" i="50"/>
  <c r="O34" i="50" s="1"/>
  <c r="K34" i="50"/>
  <c r="J34" i="50"/>
  <c r="J37" i="50" s="1"/>
  <c r="H34" i="50"/>
  <c r="G34" i="50"/>
  <c r="E34" i="50"/>
  <c r="D34" i="50"/>
  <c r="D37" i="50" s="1"/>
  <c r="AX31" i="50"/>
  <c r="AW31" i="50"/>
  <c r="AY31" i="50" s="1"/>
  <c r="AU31" i="50"/>
  <c r="AT31" i="50"/>
  <c r="AV31" i="50" s="1"/>
  <c r="AR31" i="50"/>
  <c r="AQ31" i="50"/>
  <c r="AS31" i="50" s="1"/>
  <c r="AO31" i="50"/>
  <c r="AN31" i="50"/>
  <c r="AP31" i="50" s="1"/>
  <c r="AL31" i="50"/>
  <c r="AK31" i="50"/>
  <c r="AM31" i="50" s="1"/>
  <c r="AI31" i="50"/>
  <c r="AH31" i="50"/>
  <c r="AJ31" i="50" s="1"/>
  <c r="AF31" i="50"/>
  <c r="AE31" i="50"/>
  <c r="AG31" i="50" s="1"/>
  <c r="AC31" i="50"/>
  <c r="AB31" i="50"/>
  <c r="AD31" i="50" s="1"/>
  <c r="AA31" i="50"/>
  <c r="Z31" i="50"/>
  <c r="Y31" i="50"/>
  <c r="X31" i="50"/>
  <c r="W31" i="50"/>
  <c r="V31" i="50"/>
  <c r="T31" i="50"/>
  <c r="S31" i="50"/>
  <c r="U31" i="50" s="1"/>
  <c r="Q31" i="50"/>
  <c r="P31" i="50"/>
  <c r="R31" i="50" s="1"/>
  <c r="N31" i="50"/>
  <c r="M31" i="50"/>
  <c r="O31" i="50" s="1"/>
  <c r="K31" i="50"/>
  <c r="J31" i="50"/>
  <c r="L31" i="50" s="1"/>
  <c r="H31" i="50"/>
  <c r="G31" i="50"/>
  <c r="I31" i="50" s="1"/>
  <c r="E31" i="50"/>
  <c r="C31" i="50" s="1"/>
  <c r="D31" i="50"/>
  <c r="F31" i="50" s="1"/>
  <c r="AX30" i="50"/>
  <c r="AW30" i="50"/>
  <c r="AY30" i="50" s="1"/>
  <c r="AU30" i="50"/>
  <c r="AT30" i="50"/>
  <c r="AV30" i="50" s="1"/>
  <c r="AR30" i="50"/>
  <c r="AQ30" i="50"/>
  <c r="AS30" i="50" s="1"/>
  <c r="AO30" i="50"/>
  <c r="AN30" i="50"/>
  <c r="AP30" i="50" s="1"/>
  <c r="AL30" i="50"/>
  <c r="AK30" i="50"/>
  <c r="AI30" i="50"/>
  <c r="AH30" i="50"/>
  <c r="AJ30" i="50" s="1"/>
  <c r="AG30" i="50"/>
  <c r="AF30" i="50"/>
  <c r="AE30" i="50"/>
  <c r="AC30" i="50"/>
  <c r="AB30" i="50"/>
  <c r="AD30" i="50" s="1"/>
  <c r="Z30" i="50"/>
  <c r="Y30" i="50"/>
  <c r="AA30" i="50" s="1"/>
  <c r="W30" i="50"/>
  <c r="V30" i="50"/>
  <c r="X30" i="50" s="1"/>
  <c r="T30" i="50"/>
  <c r="S30" i="50"/>
  <c r="U30" i="50" s="1"/>
  <c r="R30" i="50"/>
  <c r="Q30" i="50"/>
  <c r="P30" i="50"/>
  <c r="N30" i="50"/>
  <c r="M30" i="50"/>
  <c r="K30" i="50"/>
  <c r="J30" i="50"/>
  <c r="L30" i="50" s="1"/>
  <c r="H30" i="50"/>
  <c r="G30" i="50"/>
  <c r="I30" i="50" s="1"/>
  <c r="E30" i="50"/>
  <c r="D30" i="50"/>
  <c r="F30" i="50" s="1"/>
  <c r="AX29" i="50"/>
  <c r="AW29" i="50"/>
  <c r="AY29" i="50" s="1"/>
  <c r="AU29" i="50"/>
  <c r="AT29" i="50"/>
  <c r="AV29" i="50" s="1"/>
  <c r="AR29" i="50"/>
  <c r="AQ29" i="50"/>
  <c r="AS29" i="50" s="1"/>
  <c r="AO29" i="50"/>
  <c r="AN29" i="50"/>
  <c r="AP29" i="50" s="1"/>
  <c r="AL29" i="50"/>
  <c r="AK29" i="50"/>
  <c r="AM29" i="50" s="1"/>
  <c r="AI29" i="50"/>
  <c r="AH29" i="50"/>
  <c r="AJ29" i="50" s="1"/>
  <c r="AF29" i="50"/>
  <c r="AE29" i="50"/>
  <c r="AG29" i="50" s="1"/>
  <c r="AC29" i="50"/>
  <c r="AB29" i="50"/>
  <c r="AD29" i="50" s="1"/>
  <c r="Z29" i="50"/>
  <c r="Y29" i="50"/>
  <c r="AA29" i="50" s="1"/>
  <c r="X29" i="50"/>
  <c r="W29" i="50"/>
  <c r="V29" i="50"/>
  <c r="T29" i="50"/>
  <c r="S29" i="50"/>
  <c r="U29" i="50" s="1"/>
  <c r="Q29" i="50"/>
  <c r="P29" i="50"/>
  <c r="R29" i="50" s="1"/>
  <c r="N29" i="50"/>
  <c r="M29" i="50"/>
  <c r="O29" i="50" s="1"/>
  <c r="K29" i="50"/>
  <c r="J29" i="50"/>
  <c r="L29" i="50" s="1"/>
  <c r="H29" i="50"/>
  <c r="G29" i="50"/>
  <c r="I29" i="50" s="1"/>
  <c r="E29" i="50"/>
  <c r="D29" i="50"/>
  <c r="F29" i="50" s="1"/>
  <c r="AX28" i="50"/>
  <c r="AW28" i="50"/>
  <c r="AY28" i="50" s="1"/>
  <c r="AU28" i="50"/>
  <c r="AT28" i="50"/>
  <c r="AV28" i="50" s="1"/>
  <c r="AR28" i="50"/>
  <c r="AQ28" i="50"/>
  <c r="AS28" i="50" s="1"/>
  <c r="AO28" i="50"/>
  <c r="AN28" i="50"/>
  <c r="AP28" i="50" s="1"/>
  <c r="AL28" i="50"/>
  <c r="AK28" i="50"/>
  <c r="AM28" i="50" s="1"/>
  <c r="AI28" i="50"/>
  <c r="AH28" i="50"/>
  <c r="AJ28" i="50" s="1"/>
  <c r="AF28" i="50"/>
  <c r="AE28" i="50"/>
  <c r="AG28" i="50" s="1"/>
  <c r="AC28" i="50"/>
  <c r="AB28" i="50"/>
  <c r="AD28" i="50" s="1"/>
  <c r="Z28" i="50"/>
  <c r="Y28" i="50"/>
  <c r="AA28" i="50" s="1"/>
  <c r="W28" i="50"/>
  <c r="V28" i="50"/>
  <c r="X28" i="50" s="1"/>
  <c r="T28" i="50"/>
  <c r="S28" i="50"/>
  <c r="U28" i="50" s="1"/>
  <c r="R28" i="50"/>
  <c r="Q28" i="50"/>
  <c r="P28" i="50"/>
  <c r="N28" i="50"/>
  <c r="M28" i="50"/>
  <c r="K28" i="50"/>
  <c r="J28" i="50"/>
  <c r="L28" i="50" s="1"/>
  <c r="H28" i="50"/>
  <c r="G28" i="50"/>
  <c r="I28" i="50" s="1"/>
  <c r="E28" i="50"/>
  <c r="D28" i="50"/>
  <c r="F28" i="50" s="1"/>
  <c r="AX27" i="50"/>
  <c r="AX32" i="50" s="1"/>
  <c r="AW27" i="50"/>
  <c r="AY27" i="50" s="1"/>
  <c r="AU27" i="50"/>
  <c r="AT27" i="50"/>
  <c r="AV27" i="50" s="1"/>
  <c r="AR27" i="50"/>
  <c r="AQ27" i="50"/>
  <c r="AO27" i="50"/>
  <c r="AN27" i="50"/>
  <c r="AN32" i="50" s="1"/>
  <c r="AL27" i="50"/>
  <c r="AL32" i="50" s="1"/>
  <c r="AK27" i="50"/>
  <c r="AM27" i="50" s="1"/>
  <c r="AI27" i="50"/>
  <c r="AH27" i="50"/>
  <c r="AF27" i="50"/>
  <c r="AE27" i="50"/>
  <c r="AC27" i="50"/>
  <c r="AB27" i="50"/>
  <c r="Z27" i="50"/>
  <c r="Z32" i="50" s="1"/>
  <c r="Y27" i="50"/>
  <c r="AA27" i="50" s="1"/>
  <c r="X27" i="50"/>
  <c r="W27" i="50"/>
  <c r="V27" i="50"/>
  <c r="T27" i="50"/>
  <c r="S27" i="50"/>
  <c r="Q27" i="50"/>
  <c r="Q32" i="50" s="1"/>
  <c r="P27" i="50"/>
  <c r="P32" i="50" s="1"/>
  <c r="N27" i="50"/>
  <c r="N32" i="50" s="1"/>
  <c r="M27" i="50"/>
  <c r="O27" i="50" s="1"/>
  <c r="K27" i="50"/>
  <c r="J27" i="50"/>
  <c r="H27" i="50"/>
  <c r="G27" i="50"/>
  <c r="E27" i="50"/>
  <c r="D27" i="50"/>
  <c r="D32" i="50" s="1"/>
  <c r="AX24" i="50"/>
  <c r="AW24" i="50"/>
  <c r="AY24" i="50" s="1"/>
  <c r="AU24" i="50"/>
  <c r="AT24" i="50"/>
  <c r="AV24" i="50" s="1"/>
  <c r="AR24" i="50"/>
  <c r="AQ24" i="50"/>
  <c r="AS24" i="50" s="1"/>
  <c r="AO24" i="50"/>
  <c r="AN24" i="50"/>
  <c r="AP24" i="50" s="1"/>
  <c r="AM24" i="50"/>
  <c r="AL24" i="50"/>
  <c r="AK24" i="50"/>
  <c r="AI24" i="50"/>
  <c r="AH24" i="50"/>
  <c r="AJ24" i="50" s="1"/>
  <c r="AF24" i="50"/>
  <c r="AE24" i="50"/>
  <c r="AG24" i="50" s="1"/>
  <c r="AC24" i="50"/>
  <c r="AB24" i="50"/>
  <c r="AD24" i="50" s="1"/>
  <c r="Z24" i="50"/>
  <c r="Y24" i="50"/>
  <c r="AA24" i="50" s="1"/>
  <c r="W24" i="50"/>
  <c r="V24" i="50"/>
  <c r="X24" i="50" s="1"/>
  <c r="T24" i="50"/>
  <c r="S24" i="50"/>
  <c r="U24" i="50" s="1"/>
  <c r="Q24" i="50"/>
  <c r="P24" i="50"/>
  <c r="R24" i="50" s="1"/>
  <c r="N24" i="50"/>
  <c r="M24" i="50"/>
  <c r="O24" i="50" s="1"/>
  <c r="K24" i="50"/>
  <c r="J24" i="50"/>
  <c r="L24" i="50" s="1"/>
  <c r="H24" i="50"/>
  <c r="G24" i="50"/>
  <c r="I24" i="50" s="1"/>
  <c r="E24" i="50"/>
  <c r="D24" i="50"/>
  <c r="F24" i="50" s="1"/>
  <c r="AX23" i="50"/>
  <c r="AW23" i="50"/>
  <c r="AY23" i="50" s="1"/>
  <c r="AU23" i="50"/>
  <c r="AT23" i="50"/>
  <c r="AV23" i="50" s="1"/>
  <c r="AS23" i="50"/>
  <c r="AR23" i="50"/>
  <c r="AQ23" i="50"/>
  <c r="AO23" i="50"/>
  <c r="AN23" i="50"/>
  <c r="AP23" i="50" s="1"/>
  <c r="AL23" i="50"/>
  <c r="AK23" i="50"/>
  <c r="AM23" i="50" s="1"/>
  <c r="AI23" i="50"/>
  <c r="AH23" i="50"/>
  <c r="AJ23" i="50" s="1"/>
  <c r="AF23" i="50"/>
  <c r="AE23" i="50"/>
  <c r="AG23" i="50" s="1"/>
  <c r="AC23" i="50"/>
  <c r="AB23" i="50"/>
  <c r="AD23" i="50" s="1"/>
  <c r="Z23" i="50"/>
  <c r="Y23" i="50"/>
  <c r="AA23" i="50" s="1"/>
  <c r="W23" i="50"/>
  <c r="V23" i="50"/>
  <c r="X23" i="50" s="1"/>
  <c r="T23" i="50"/>
  <c r="S23" i="50"/>
  <c r="U23" i="50" s="1"/>
  <c r="Q23" i="50"/>
  <c r="P23" i="50"/>
  <c r="R23" i="50" s="1"/>
  <c r="N23" i="50"/>
  <c r="M23" i="50"/>
  <c r="K23" i="50"/>
  <c r="J23" i="50"/>
  <c r="L23" i="50" s="1"/>
  <c r="H23" i="50"/>
  <c r="G23" i="50"/>
  <c r="I23" i="50" s="1"/>
  <c r="E23" i="50"/>
  <c r="D23" i="50"/>
  <c r="F23" i="50" s="1"/>
  <c r="AY22" i="50"/>
  <c r="AX22" i="50"/>
  <c r="AW22" i="50"/>
  <c r="AU22" i="50"/>
  <c r="AT22" i="50"/>
  <c r="AV22" i="50" s="1"/>
  <c r="AR22" i="50"/>
  <c r="AQ22" i="50"/>
  <c r="AS22" i="50" s="1"/>
  <c r="AO22" i="50"/>
  <c r="AN22" i="50"/>
  <c r="AP22" i="50" s="1"/>
  <c r="AL22" i="50"/>
  <c r="AK22" i="50"/>
  <c r="AM22" i="50" s="1"/>
  <c r="AI22" i="50"/>
  <c r="AH22" i="50"/>
  <c r="AJ22" i="50" s="1"/>
  <c r="AF22" i="50"/>
  <c r="AE22" i="50"/>
  <c r="AG22" i="50" s="1"/>
  <c r="AC22" i="50"/>
  <c r="AB22" i="50"/>
  <c r="AD22" i="50" s="1"/>
  <c r="Z22" i="50"/>
  <c r="Y22" i="50"/>
  <c r="AA22" i="50" s="1"/>
  <c r="W22" i="50"/>
  <c r="V22" i="50"/>
  <c r="X22" i="50" s="1"/>
  <c r="T22" i="50"/>
  <c r="S22" i="50"/>
  <c r="U22" i="50" s="1"/>
  <c r="Q22" i="50"/>
  <c r="P22" i="50"/>
  <c r="R22" i="50" s="1"/>
  <c r="N22" i="50"/>
  <c r="M22" i="50"/>
  <c r="O22" i="50" s="1"/>
  <c r="K22" i="50"/>
  <c r="J22" i="50"/>
  <c r="L22" i="50" s="1"/>
  <c r="H22" i="50"/>
  <c r="G22" i="50"/>
  <c r="I22" i="50" s="1"/>
  <c r="E22" i="50"/>
  <c r="D22" i="50"/>
  <c r="F22" i="50" s="1"/>
  <c r="AX21" i="50"/>
  <c r="AX25" i="50" s="1"/>
  <c r="AW21" i="50"/>
  <c r="AU21" i="50"/>
  <c r="AT21" i="50"/>
  <c r="AS21" i="50"/>
  <c r="AS25" i="50" s="1"/>
  <c r="AR21" i="50"/>
  <c r="AQ21" i="50"/>
  <c r="AO21" i="50"/>
  <c r="AO25" i="50" s="1"/>
  <c r="AN21" i="50"/>
  <c r="AP21" i="50" s="1"/>
  <c r="AL21" i="50"/>
  <c r="AL25" i="50" s="1"/>
  <c r="AK21" i="50"/>
  <c r="AI21" i="50"/>
  <c r="AI25" i="50" s="1"/>
  <c r="AH21" i="50"/>
  <c r="AF21" i="50"/>
  <c r="AE21" i="50"/>
  <c r="AG21" i="50" s="1"/>
  <c r="AG25" i="50" s="1"/>
  <c r="AC21" i="50"/>
  <c r="AC25" i="50" s="1"/>
  <c r="AB21" i="50"/>
  <c r="AD21" i="50" s="1"/>
  <c r="Z21" i="50"/>
  <c r="Y21" i="50"/>
  <c r="W21" i="50"/>
  <c r="V21" i="50"/>
  <c r="T21" i="50"/>
  <c r="S21" i="50"/>
  <c r="U21" i="50" s="1"/>
  <c r="U25" i="50" s="1"/>
  <c r="Q21" i="50"/>
  <c r="P21" i="50"/>
  <c r="R21" i="50" s="1"/>
  <c r="N21" i="50"/>
  <c r="N25" i="50" s="1"/>
  <c r="M21" i="50"/>
  <c r="K21" i="50"/>
  <c r="J21" i="50"/>
  <c r="H21" i="50"/>
  <c r="G21" i="50"/>
  <c r="I21" i="50" s="1"/>
  <c r="E21" i="50"/>
  <c r="D21" i="50"/>
  <c r="F21" i="50" s="1"/>
  <c r="AX18" i="50"/>
  <c r="AW18" i="50"/>
  <c r="AY18" i="50" s="1"/>
  <c r="AU18" i="50"/>
  <c r="AT18" i="50"/>
  <c r="AV18" i="50" s="1"/>
  <c r="AS18" i="50"/>
  <c r="AR18" i="50"/>
  <c r="AQ18" i="50"/>
  <c r="AO18" i="50"/>
  <c r="AN18" i="50"/>
  <c r="AP18" i="50" s="1"/>
  <c r="AL18" i="50"/>
  <c r="AK18" i="50"/>
  <c r="AM18" i="50" s="1"/>
  <c r="AI18" i="50"/>
  <c r="AH18" i="50"/>
  <c r="AJ18" i="50" s="1"/>
  <c r="AF18" i="50"/>
  <c r="AE18" i="50"/>
  <c r="AG18" i="50" s="1"/>
  <c r="AC18" i="50"/>
  <c r="AB18" i="50"/>
  <c r="AD18" i="50" s="1"/>
  <c r="Z18" i="50"/>
  <c r="Y18" i="50"/>
  <c r="AA18" i="50" s="1"/>
  <c r="W18" i="50"/>
  <c r="V18" i="50"/>
  <c r="X18" i="50" s="1"/>
  <c r="T18" i="50"/>
  <c r="S18" i="50"/>
  <c r="U18" i="50" s="1"/>
  <c r="Q18" i="50"/>
  <c r="P18" i="50"/>
  <c r="R18" i="50" s="1"/>
  <c r="N18" i="50"/>
  <c r="M18" i="50"/>
  <c r="K18" i="50"/>
  <c r="J18" i="50"/>
  <c r="L18" i="50" s="1"/>
  <c r="H18" i="50"/>
  <c r="G18" i="50"/>
  <c r="I18" i="50" s="1"/>
  <c r="E18" i="50"/>
  <c r="D18" i="50"/>
  <c r="F18" i="50" s="1"/>
  <c r="AY17" i="50"/>
  <c r="AX17" i="50"/>
  <c r="AW17" i="50"/>
  <c r="AV17" i="50"/>
  <c r="AU17" i="50"/>
  <c r="AT17" i="50"/>
  <c r="AR17" i="50"/>
  <c r="AQ17" i="50"/>
  <c r="AS17" i="50" s="1"/>
  <c r="AO17" i="50"/>
  <c r="AN17" i="50"/>
  <c r="AP17" i="50" s="1"/>
  <c r="AL17" i="50"/>
  <c r="AK17" i="50"/>
  <c r="AM17" i="50" s="1"/>
  <c r="AI17" i="50"/>
  <c r="AH17" i="50"/>
  <c r="AJ17" i="50" s="1"/>
  <c r="AF17" i="50"/>
  <c r="AE17" i="50"/>
  <c r="AG17" i="50" s="1"/>
  <c r="AC17" i="50"/>
  <c r="AB17" i="50"/>
  <c r="AD17" i="50" s="1"/>
  <c r="Z17" i="50"/>
  <c r="Y17" i="50"/>
  <c r="AA17" i="50" s="1"/>
  <c r="W17" i="50"/>
  <c r="V17" i="50"/>
  <c r="X17" i="50" s="1"/>
  <c r="T17" i="50"/>
  <c r="S17" i="50"/>
  <c r="U17" i="50" s="1"/>
  <c r="Q17" i="50"/>
  <c r="P17" i="50"/>
  <c r="R17" i="50" s="1"/>
  <c r="N17" i="50"/>
  <c r="M17" i="50"/>
  <c r="O17" i="50" s="1"/>
  <c r="K17" i="50"/>
  <c r="J17" i="50"/>
  <c r="L17" i="50" s="1"/>
  <c r="H17" i="50"/>
  <c r="G17" i="50"/>
  <c r="I17" i="50" s="1"/>
  <c r="E17" i="50"/>
  <c r="D17" i="50"/>
  <c r="F17" i="50" s="1"/>
  <c r="AX16" i="50"/>
  <c r="AW16" i="50"/>
  <c r="AY16" i="50" s="1"/>
  <c r="AU16" i="50"/>
  <c r="AT16" i="50"/>
  <c r="AV16" i="50" s="1"/>
  <c r="AS16" i="50"/>
  <c r="AR16" i="50"/>
  <c r="AQ16" i="50"/>
  <c r="AP16" i="50"/>
  <c r="AO16" i="50"/>
  <c r="AN16" i="50"/>
  <c r="AL16" i="50"/>
  <c r="AK16" i="50"/>
  <c r="AM16" i="50" s="1"/>
  <c r="AI16" i="50"/>
  <c r="AH16" i="50"/>
  <c r="AJ16" i="50" s="1"/>
  <c r="AF16" i="50"/>
  <c r="AE16" i="50"/>
  <c r="AG16" i="50" s="1"/>
  <c r="AC16" i="50"/>
  <c r="AB16" i="50"/>
  <c r="AD16" i="50" s="1"/>
  <c r="Z16" i="50"/>
  <c r="Y16" i="50"/>
  <c r="AA16" i="50" s="1"/>
  <c r="W16" i="50"/>
  <c r="V16" i="50"/>
  <c r="X16" i="50" s="1"/>
  <c r="T16" i="50"/>
  <c r="S16" i="50"/>
  <c r="U16" i="50" s="1"/>
  <c r="Q16" i="50"/>
  <c r="P16" i="50"/>
  <c r="R16" i="50" s="1"/>
  <c r="N16" i="50"/>
  <c r="M16" i="50"/>
  <c r="K16" i="50"/>
  <c r="J16" i="50"/>
  <c r="L16" i="50" s="1"/>
  <c r="H16" i="50"/>
  <c r="G16" i="50"/>
  <c r="I16" i="50" s="1"/>
  <c r="E16" i="50"/>
  <c r="D16" i="50"/>
  <c r="F16" i="50" s="1"/>
  <c r="AY15" i="50"/>
  <c r="AX15" i="50"/>
  <c r="AW15" i="50"/>
  <c r="AV15" i="50"/>
  <c r="AU15" i="50"/>
  <c r="AT15" i="50"/>
  <c r="AR15" i="50"/>
  <c r="AQ15" i="50"/>
  <c r="AS15" i="50" s="1"/>
  <c r="AO15" i="50"/>
  <c r="AN15" i="50"/>
  <c r="AP15" i="50" s="1"/>
  <c r="AL15" i="50"/>
  <c r="AK15" i="50"/>
  <c r="AM15" i="50" s="1"/>
  <c r="AI15" i="50"/>
  <c r="AH15" i="50"/>
  <c r="AJ15" i="50" s="1"/>
  <c r="AF15" i="50"/>
  <c r="AE15" i="50"/>
  <c r="AG15" i="50" s="1"/>
  <c r="AC15" i="50"/>
  <c r="AB15" i="50"/>
  <c r="AD15" i="50" s="1"/>
  <c r="Z15" i="50"/>
  <c r="Y15" i="50"/>
  <c r="AA15" i="50" s="1"/>
  <c r="W15" i="50"/>
  <c r="V15" i="50"/>
  <c r="X15" i="50" s="1"/>
  <c r="T15" i="50"/>
  <c r="S15" i="50"/>
  <c r="U15" i="50" s="1"/>
  <c r="Q15" i="50"/>
  <c r="P15" i="50"/>
  <c r="R15" i="50" s="1"/>
  <c r="N15" i="50"/>
  <c r="M15" i="50"/>
  <c r="O15" i="50" s="1"/>
  <c r="K15" i="50"/>
  <c r="J15" i="50"/>
  <c r="L15" i="50" s="1"/>
  <c r="H15" i="50"/>
  <c r="G15" i="50"/>
  <c r="I15" i="50" s="1"/>
  <c r="E15" i="50"/>
  <c r="D15" i="50"/>
  <c r="F15" i="50" s="1"/>
  <c r="AX14" i="50"/>
  <c r="AW14" i="50"/>
  <c r="AY14" i="50" s="1"/>
  <c r="AU14" i="50"/>
  <c r="AT14" i="50"/>
  <c r="AV14" i="50" s="1"/>
  <c r="AS14" i="50"/>
  <c r="AR14" i="50"/>
  <c r="AQ14" i="50"/>
  <c r="AP14" i="50"/>
  <c r="AO14" i="50"/>
  <c r="AN14" i="50"/>
  <c r="AL14" i="50"/>
  <c r="AK14" i="50"/>
  <c r="AM14" i="50" s="1"/>
  <c r="AI14" i="50"/>
  <c r="AH14" i="50"/>
  <c r="AJ14" i="50" s="1"/>
  <c r="AF14" i="50"/>
  <c r="AE14" i="50"/>
  <c r="AG14" i="50" s="1"/>
  <c r="AC14" i="50"/>
  <c r="AB14" i="50"/>
  <c r="AD14" i="50" s="1"/>
  <c r="Z14" i="50"/>
  <c r="Y14" i="50"/>
  <c r="AA14" i="50" s="1"/>
  <c r="W14" i="50"/>
  <c r="V14" i="50"/>
  <c r="X14" i="50" s="1"/>
  <c r="T14" i="50"/>
  <c r="S14" i="50"/>
  <c r="U14" i="50" s="1"/>
  <c r="Q14" i="50"/>
  <c r="P14" i="50"/>
  <c r="R14" i="50" s="1"/>
  <c r="N14" i="50"/>
  <c r="M14" i="50"/>
  <c r="K14" i="50"/>
  <c r="J14" i="50"/>
  <c r="L14" i="50" s="1"/>
  <c r="H14" i="50"/>
  <c r="G14" i="50"/>
  <c r="I14" i="50" s="1"/>
  <c r="E14" i="50"/>
  <c r="D14" i="50"/>
  <c r="F14" i="50" s="1"/>
  <c r="AY13" i="50"/>
  <c r="AX13" i="50"/>
  <c r="AW13" i="50"/>
  <c r="AV13" i="50"/>
  <c r="AU13" i="50"/>
  <c r="AU19" i="50" s="1"/>
  <c r="AT13" i="50"/>
  <c r="AT19" i="50" s="1"/>
  <c r="AR13" i="50"/>
  <c r="AR19" i="50" s="1"/>
  <c r="AQ13" i="50"/>
  <c r="AS13" i="50" s="1"/>
  <c r="AO13" i="50"/>
  <c r="AO19" i="50" s="1"/>
  <c r="AN13" i="50"/>
  <c r="AL13" i="50"/>
  <c r="AK13" i="50"/>
  <c r="AM13" i="50" s="1"/>
  <c r="AM19" i="50" s="1"/>
  <c r="AI13" i="50"/>
  <c r="AH13" i="50"/>
  <c r="AH19" i="50" s="1"/>
  <c r="AF13" i="50"/>
  <c r="AE13" i="50"/>
  <c r="AG13" i="50" s="1"/>
  <c r="AC13" i="50"/>
  <c r="AB13" i="50"/>
  <c r="Z13" i="50"/>
  <c r="Y13" i="50"/>
  <c r="AA13" i="50" s="1"/>
  <c r="W13" i="50"/>
  <c r="V13" i="50"/>
  <c r="V19" i="50" s="1"/>
  <c r="T13" i="50"/>
  <c r="T19" i="50" s="1"/>
  <c r="S13" i="50"/>
  <c r="U13" i="50" s="1"/>
  <c r="Q13" i="50"/>
  <c r="P13" i="50"/>
  <c r="N13" i="50"/>
  <c r="M13" i="50"/>
  <c r="O13" i="50" s="1"/>
  <c r="K13" i="50"/>
  <c r="K19" i="50" s="1"/>
  <c r="J13" i="50"/>
  <c r="J19" i="50" s="1"/>
  <c r="H13" i="50"/>
  <c r="H19" i="50" s="1"/>
  <c r="G13" i="50"/>
  <c r="I13" i="50" s="1"/>
  <c r="E13" i="50"/>
  <c r="D13" i="50"/>
  <c r="AX10" i="50"/>
  <c r="AW10" i="50"/>
  <c r="AY10" i="50" s="1"/>
  <c r="AU10" i="50"/>
  <c r="AT10" i="50"/>
  <c r="AV10" i="50" s="1"/>
  <c r="AR10" i="50"/>
  <c r="AQ10" i="50"/>
  <c r="AS10" i="50" s="1"/>
  <c r="AO10" i="50"/>
  <c r="AN10" i="50"/>
  <c r="AP10" i="50" s="1"/>
  <c r="AL10" i="50"/>
  <c r="AK10" i="50"/>
  <c r="AM10" i="50" s="1"/>
  <c r="AI10" i="50"/>
  <c r="AH10" i="50"/>
  <c r="AJ10" i="50" s="1"/>
  <c r="AF10" i="50"/>
  <c r="AE10" i="50"/>
  <c r="AG10" i="50" s="1"/>
  <c r="AC10" i="50"/>
  <c r="AB10" i="50"/>
  <c r="AD10" i="50" s="1"/>
  <c r="Z10" i="50"/>
  <c r="Y10" i="50"/>
  <c r="AA10" i="50" s="1"/>
  <c r="W10" i="50"/>
  <c r="V10" i="50"/>
  <c r="X10" i="50" s="1"/>
  <c r="T10" i="50"/>
  <c r="S10" i="50"/>
  <c r="U10" i="50" s="1"/>
  <c r="Q10" i="50"/>
  <c r="P10" i="50"/>
  <c r="R10" i="50" s="1"/>
  <c r="N10" i="50"/>
  <c r="M10" i="50"/>
  <c r="O10" i="50" s="1"/>
  <c r="K10" i="50"/>
  <c r="J10" i="50"/>
  <c r="L10" i="50" s="1"/>
  <c r="H10" i="50"/>
  <c r="G10" i="50"/>
  <c r="I10" i="50" s="1"/>
  <c r="E10" i="50"/>
  <c r="D10" i="50"/>
  <c r="F10" i="50" s="1"/>
  <c r="AX9" i="50"/>
  <c r="AW9" i="50"/>
  <c r="AY9" i="50" s="1"/>
  <c r="AU9" i="50"/>
  <c r="AT9" i="50"/>
  <c r="AV9" i="50" s="1"/>
  <c r="AR9" i="50"/>
  <c r="AQ9" i="50"/>
  <c r="AS9" i="50" s="1"/>
  <c r="AO9" i="50"/>
  <c r="AN9" i="50"/>
  <c r="AP9" i="50" s="1"/>
  <c r="AL9" i="50"/>
  <c r="AK9" i="50"/>
  <c r="AM9" i="50" s="1"/>
  <c r="AI9" i="50"/>
  <c r="AH9" i="50"/>
  <c r="AJ9" i="50" s="1"/>
  <c r="AF9" i="50"/>
  <c r="AE9" i="50"/>
  <c r="AG9" i="50" s="1"/>
  <c r="AD9" i="50"/>
  <c r="AC9" i="50"/>
  <c r="AB9" i="50"/>
  <c r="Z9" i="50"/>
  <c r="Y9" i="50"/>
  <c r="AA9" i="50" s="1"/>
  <c r="W9" i="50"/>
  <c r="V9" i="50"/>
  <c r="X9" i="50" s="1"/>
  <c r="U9" i="50"/>
  <c r="T9" i="50"/>
  <c r="S9" i="50"/>
  <c r="Q9" i="50"/>
  <c r="P9" i="50"/>
  <c r="R9" i="50" s="1"/>
  <c r="N9" i="50"/>
  <c r="M9" i="50"/>
  <c r="O9" i="50" s="1"/>
  <c r="K9" i="50"/>
  <c r="J9" i="50"/>
  <c r="L9" i="50" s="1"/>
  <c r="H9" i="50"/>
  <c r="G9" i="50"/>
  <c r="I9" i="50" s="1"/>
  <c r="E9" i="50"/>
  <c r="D9" i="50"/>
  <c r="F9" i="50" s="1"/>
  <c r="AY8" i="50"/>
  <c r="AX8" i="50"/>
  <c r="AW8" i="50"/>
  <c r="AV8" i="50"/>
  <c r="AU8" i="50"/>
  <c r="AT8" i="50"/>
  <c r="AR8" i="50"/>
  <c r="AQ8" i="50"/>
  <c r="AS8" i="50" s="1"/>
  <c r="AO8" i="50"/>
  <c r="AN8" i="50"/>
  <c r="AP8" i="50" s="1"/>
  <c r="AL8" i="50"/>
  <c r="AK8" i="50"/>
  <c r="AM8" i="50" s="1"/>
  <c r="AI8" i="50"/>
  <c r="AH8" i="50"/>
  <c r="AJ8" i="50" s="1"/>
  <c r="AF8" i="50"/>
  <c r="AE8" i="50"/>
  <c r="AG8" i="50" s="1"/>
  <c r="AC8" i="50"/>
  <c r="AB8" i="50"/>
  <c r="AD8" i="50" s="1"/>
  <c r="Z8" i="50"/>
  <c r="Y8" i="50"/>
  <c r="AA8" i="50" s="1"/>
  <c r="W8" i="50"/>
  <c r="V8" i="50"/>
  <c r="X8" i="50" s="1"/>
  <c r="T8" i="50"/>
  <c r="S8" i="50"/>
  <c r="U8" i="50" s="1"/>
  <c r="Q8" i="50"/>
  <c r="P8" i="50"/>
  <c r="R8" i="50" s="1"/>
  <c r="N8" i="50"/>
  <c r="N11" i="50" s="1"/>
  <c r="M8" i="50"/>
  <c r="O8" i="50" s="1"/>
  <c r="K8" i="50"/>
  <c r="J8" i="50"/>
  <c r="L8" i="50" s="1"/>
  <c r="H8" i="50"/>
  <c r="G8" i="50"/>
  <c r="I8" i="50" s="1"/>
  <c r="E8" i="50"/>
  <c r="D8" i="50"/>
  <c r="F8" i="50" s="1"/>
  <c r="AX7" i="50"/>
  <c r="AX11" i="50" s="1"/>
  <c r="AW7" i="50"/>
  <c r="AY7" i="50" s="1"/>
  <c r="AU7" i="50"/>
  <c r="AT7" i="50"/>
  <c r="AS7" i="50"/>
  <c r="AR7" i="50"/>
  <c r="AQ7" i="50"/>
  <c r="AO7" i="50"/>
  <c r="AN7" i="50"/>
  <c r="AP7" i="50" s="1"/>
  <c r="AL7" i="50"/>
  <c r="AK7" i="50"/>
  <c r="AM7" i="50" s="1"/>
  <c r="AI7" i="50"/>
  <c r="AH7" i="50"/>
  <c r="AF7" i="50"/>
  <c r="AE7" i="50"/>
  <c r="AG7" i="50" s="1"/>
  <c r="AD7" i="50"/>
  <c r="AC7" i="50"/>
  <c r="AC11" i="50" s="1"/>
  <c r="AB7" i="50"/>
  <c r="Z7" i="50"/>
  <c r="Y7" i="50"/>
  <c r="AA7" i="50" s="1"/>
  <c r="W7" i="50"/>
  <c r="W11" i="50" s="1"/>
  <c r="V7" i="50"/>
  <c r="V11" i="50" s="1"/>
  <c r="T7" i="50"/>
  <c r="S7" i="50"/>
  <c r="U7" i="50" s="1"/>
  <c r="Q7" i="50"/>
  <c r="Q11" i="50" s="1"/>
  <c r="P7" i="50"/>
  <c r="R7" i="50" s="1"/>
  <c r="N7" i="50"/>
  <c r="M7" i="50"/>
  <c r="O7" i="50" s="1"/>
  <c r="K7" i="50"/>
  <c r="K11" i="50" s="1"/>
  <c r="J7" i="50"/>
  <c r="H7" i="50"/>
  <c r="G7" i="50"/>
  <c r="I7" i="50" s="1"/>
  <c r="E7" i="50"/>
  <c r="D7" i="50"/>
  <c r="F7" i="50" s="1"/>
  <c r="AV11" i="49"/>
  <c r="AU11" i="49"/>
  <c r="AS11" i="49"/>
  <c r="AR11" i="49"/>
  <c r="AP11" i="49"/>
  <c r="AO11" i="49"/>
  <c r="AM11" i="49"/>
  <c r="AL11" i="49"/>
  <c r="AJ11" i="49"/>
  <c r="AI11" i="49"/>
  <c r="AG11" i="49"/>
  <c r="AF11" i="49"/>
  <c r="AD11" i="49"/>
  <c r="AC11" i="49"/>
  <c r="AA11" i="49"/>
  <c r="Z11" i="49"/>
  <c r="X11" i="49"/>
  <c r="W11" i="49"/>
  <c r="U11" i="49"/>
  <c r="T11" i="49"/>
  <c r="R11" i="49"/>
  <c r="Q11" i="49"/>
  <c r="O11" i="49"/>
  <c r="N11" i="49"/>
  <c r="L11" i="49"/>
  <c r="K11" i="49"/>
  <c r="I11" i="49"/>
  <c r="H11" i="49"/>
  <c r="F11" i="49"/>
  <c r="E11" i="49"/>
  <c r="C11" i="49"/>
  <c r="B11" i="49"/>
  <c r="AV8" i="49"/>
  <c r="AU8" i="49"/>
  <c r="AS8" i="49"/>
  <c r="AR8" i="49"/>
  <c r="AP8" i="49"/>
  <c r="AO8" i="49"/>
  <c r="AM8" i="49"/>
  <c r="AL8" i="49"/>
  <c r="AJ8" i="49"/>
  <c r="AI8" i="49"/>
  <c r="AG8" i="49"/>
  <c r="AF8" i="49"/>
  <c r="AD8" i="49"/>
  <c r="AC8" i="49"/>
  <c r="AA8" i="49"/>
  <c r="Z8" i="49"/>
  <c r="X8" i="49"/>
  <c r="W8" i="49"/>
  <c r="U8" i="49"/>
  <c r="T8" i="49"/>
  <c r="R8" i="49"/>
  <c r="Q8" i="49"/>
  <c r="O8" i="49"/>
  <c r="N8" i="49"/>
  <c r="L8" i="49"/>
  <c r="K8" i="49"/>
  <c r="I8" i="49"/>
  <c r="H8" i="49"/>
  <c r="F8" i="49"/>
  <c r="E8" i="49"/>
  <c r="C8" i="49"/>
  <c r="B8" i="49"/>
  <c r="AW15" i="48"/>
  <c r="W15" i="48"/>
  <c r="AC14" i="48"/>
  <c r="R17" i="48"/>
  <c r="AN16" i="48"/>
  <c r="D18" i="48"/>
  <c r="AH18" i="48"/>
  <c r="Y15" i="48"/>
  <c r="AU14" i="48"/>
  <c r="E14" i="48"/>
  <c r="AA14" i="48"/>
  <c r="D14" i="48"/>
  <c r="AP16" i="48"/>
  <c r="P16" i="48"/>
  <c r="AL15" i="48"/>
  <c r="AR14" i="48"/>
  <c r="AQ15" i="48"/>
  <c r="T15" i="48"/>
  <c r="AH16" i="48"/>
  <c r="H16" i="48"/>
  <c r="AD15" i="48"/>
  <c r="O18" i="48"/>
  <c r="AM17" i="48"/>
  <c r="AG17" i="48"/>
  <c r="G17" i="48"/>
  <c r="M16" i="48"/>
  <c r="AI15" i="48"/>
  <c r="X18" i="48"/>
  <c r="N16" i="48"/>
  <c r="C15" i="48"/>
  <c r="Z15" i="48"/>
  <c r="AV14" i="48"/>
  <c r="V14" i="48"/>
  <c r="AI18" i="48"/>
  <c r="AU16" i="48"/>
  <c r="J17" i="48"/>
  <c r="R15" i="48"/>
  <c r="AN14" i="48"/>
  <c r="N14" i="48"/>
  <c r="AD16" i="48"/>
  <c r="F16" i="48"/>
  <c r="Q16" i="48"/>
  <c r="AM15" i="48"/>
  <c r="AS14" i="48"/>
  <c r="S14" i="48"/>
  <c r="H17" i="48"/>
  <c r="U14" i="48"/>
  <c r="V16" i="48"/>
  <c r="AU17" i="48"/>
  <c r="B17" i="48"/>
  <c r="AT15" i="48"/>
  <c r="U17" i="48"/>
  <c r="AW17" i="48"/>
  <c r="AC16" i="48"/>
  <c r="E16" i="48"/>
  <c r="AO17" i="48"/>
  <c r="E15" i="48"/>
  <c r="S16" i="48"/>
  <c r="F18" i="48"/>
  <c r="B15" i="48"/>
  <c r="Z14" i="48"/>
  <c r="J16" i="48"/>
  <c r="I17" i="48"/>
  <c r="AH15" i="48"/>
  <c r="AQ18" i="48"/>
  <c r="AG16" i="48"/>
  <c r="M15" i="48"/>
  <c r="AU15" i="48"/>
  <c r="AP17" i="48"/>
  <c r="AL16" i="48"/>
  <c r="Q14" i="48"/>
  <c r="AH17" i="48"/>
  <c r="AG14" i="48"/>
  <c r="G14" i="48"/>
  <c r="L18" i="48"/>
  <c r="B16" i="48"/>
  <c r="X15" i="48"/>
  <c r="AQ17" i="48"/>
  <c r="Z18" i="48"/>
  <c r="I14" i="48"/>
  <c r="AD18" i="48"/>
  <c r="AJ17" i="48"/>
  <c r="AN15" i="48"/>
  <c r="AP15" i="48"/>
  <c r="AP18" i="48"/>
  <c r="P18" i="48"/>
  <c r="AL17" i="48"/>
  <c r="AR16" i="48"/>
  <c r="AH14" i="48"/>
  <c r="H14" i="48"/>
  <c r="Q18" i="48"/>
  <c r="R18" i="48"/>
  <c r="AN17" i="48"/>
  <c r="N17" i="48"/>
  <c r="T16" i="48"/>
  <c r="AT17" i="48"/>
  <c r="AG15" i="48"/>
  <c r="J14" i="48"/>
  <c r="AM18" i="48"/>
  <c r="AS17" i="48"/>
  <c r="S17" i="48"/>
  <c r="N15" i="48"/>
  <c r="AV17" i="48"/>
  <c r="B14" i="48"/>
  <c r="AE18" i="48"/>
  <c r="AK17" i="48"/>
  <c r="D17" i="48"/>
  <c r="AR17" i="48"/>
  <c r="AW14" i="48"/>
  <c r="W14" i="48"/>
  <c r="AB18" i="48"/>
  <c r="R16" i="48"/>
  <c r="X14" i="48"/>
  <c r="AA16" i="48"/>
  <c r="Z17" i="48"/>
  <c r="AV16" i="48"/>
  <c r="AB15" i="48"/>
  <c r="Y18" i="48"/>
  <c r="AF16" i="48"/>
  <c r="X16" i="48"/>
  <c r="D15" i="48"/>
  <c r="P15" i="48"/>
  <c r="W17" i="48"/>
  <c r="C16" i="48"/>
  <c r="F14" i="48"/>
  <c r="O17" i="48"/>
  <c r="AA15" i="48"/>
  <c r="AF18" i="48"/>
  <c r="L17" i="48"/>
  <c r="AE15" i="48"/>
  <c r="AF15" i="48"/>
  <c r="AE16" i="48"/>
  <c r="H15" i="48"/>
  <c r="T18" i="48"/>
  <c r="G16" i="48"/>
  <c r="AJ15" i="48"/>
  <c r="T17" i="48"/>
  <c r="P17" i="48"/>
  <c r="AO18" i="48"/>
  <c r="AP14" i="48"/>
  <c r="P14" i="48"/>
  <c r="AC18" i="48"/>
  <c r="C18" i="48"/>
  <c r="AO15" i="48"/>
  <c r="O15" i="48"/>
  <c r="M18" i="48"/>
  <c r="R14" i="48"/>
  <c r="AU18" i="48"/>
  <c r="E18" i="48"/>
  <c r="AA17" i="48"/>
  <c r="K18" i="48"/>
  <c r="AS16" i="48"/>
  <c r="Q15" i="48"/>
  <c r="AM14" i="48"/>
  <c r="AR18" i="48"/>
  <c r="U16" i="48"/>
  <c r="AQ16" i="48"/>
  <c r="AC15" i="48"/>
  <c r="I15" i="48"/>
  <c r="AE14" i="48"/>
  <c r="D16" i="48"/>
  <c r="AJ16" i="48"/>
  <c r="Z16" i="48"/>
  <c r="AV15" i="48"/>
  <c r="V15" i="48"/>
  <c r="AB14" i="48"/>
  <c r="Y17" i="48"/>
  <c r="AK18" i="48"/>
  <c r="W16" i="48"/>
  <c r="AM16" i="48"/>
  <c r="S15" i="48"/>
  <c r="AI17" i="48"/>
  <c r="O16" i="48"/>
  <c r="U15" i="48"/>
  <c r="AK15" i="48"/>
  <c r="AF17" i="48"/>
  <c r="L16" i="48"/>
  <c r="B18" i="48"/>
  <c r="K17" i="48"/>
  <c r="AW18" i="48"/>
  <c r="AC17" i="48"/>
  <c r="AO14" i="48"/>
  <c r="AB16" i="48"/>
  <c r="F15" i="48"/>
  <c r="V17" i="48"/>
  <c r="O14" i="48"/>
  <c r="AG18" i="48"/>
  <c r="G18" i="48"/>
  <c r="M17" i="48"/>
  <c r="AI16" i="48"/>
  <c r="Y14" i="48"/>
  <c r="AD17" i="48"/>
  <c r="M14" i="48"/>
  <c r="I18" i="48"/>
  <c r="AE17" i="48"/>
  <c r="AK16" i="48"/>
  <c r="K16" i="48"/>
  <c r="AT18" i="48"/>
  <c r="L15" i="48"/>
  <c r="AV18" i="48"/>
  <c r="V18" i="48"/>
  <c r="AB17" i="48"/>
  <c r="AJ18" i="48"/>
  <c r="K14" i="48"/>
  <c r="C14" i="48"/>
  <c r="AN18" i="48"/>
  <c r="N18" i="48"/>
  <c r="AA18" i="48"/>
  <c r="K15" i="48"/>
  <c r="J15" i="48"/>
  <c r="AF14" i="48"/>
  <c r="AS18" i="48"/>
  <c r="S18" i="48"/>
  <c r="I16" i="48"/>
  <c r="AK14" i="48"/>
  <c r="AL14" i="48"/>
  <c r="Q17" i="48"/>
  <c r="AS15" i="48"/>
  <c r="H18" i="48"/>
  <c r="AT14" i="48"/>
  <c r="AO16" i="48"/>
  <c r="AQ14" i="48"/>
  <c r="J18" i="48"/>
  <c r="F17" i="48"/>
  <c r="AJ14" i="48"/>
  <c r="E17" i="48"/>
  <c r="X17" i="48"/>
  <c r="AT16" i="48"/>
  <c r="AW16" i="48"/>
  <c r="W18" i="48"/>
  <c r="C17" i="48"/>
  <c r="T14" i="48"/>
  <c r="L14" i="48"/>
  <c r="AL18" i="48"/>
  <c r="AD14" i="48"/>
  <c r="G15" i="48"/>
  <c r="AI14" i="48"/>
  <c r="Y16" i="48"/>
  <c r="U18" i="48"/>
  <c r="AR15" i="48"/>
  <c r="N19" i="48" l="1"/>
  <c r="V19" i="48"/>
  <c r="AD19" i="48"/>
  <c r="F19" i="48"/>
  <c r="AG19" i="48"/>
  <c r="B19" i="48"/>
  <c r="J19" i="48"/>
  <c r="AH19" i="48"/>
  <c r="AL19" i="48"/>
  <c r="AT19" i="48"/>
  <c r="AP19" i="48"/>
  <c r="AY11" i="50"/>
  <c r="X13" i="50"/>
  <c r="AD25" i="50"/>
  <c r="AB32" i="50"/>
  <c r="C34" i="50"/>
  <c r="AL37" i="50"/>
  <c r="AA11" i="50"/>
  <c r="AO11" i="50"/>
  <c r="AT11" i="50"/>
  <c r="C22" i="50"/>
  <c r="N37" i="50"/>
  <c r="M37" i="50"/>
  <c r="F11" i="50"/>
  <c r="J11" i="50"/>
  <c r="C13" i="50"/>
  <c r="Q25" i="50"/>
  <c r="Y37" i="50"/>
  <c r="AD11" i="50"/>
  <c r="AM11" i="50"/>
  <c r="AP11" i="50"/>
  <c r="AH32" i="50"/>
  <c r="AJ27" i="50"/>
  <c r="AJ32" i="50" s="1"/>
  <c r="O11" i="50"/>
  <c r="AH11" i="50"/>
  <c r="Q19" i="50"/>
  <c r="W19" i="50"/>
  <c r="AA19" i="50"/>
  <c r="AF19" i="50"/>
  <c r="J32" i="50"/>
  <c r="L27" i="50"/>
  <c r="L32" i="50" s="1"/>
  <c r="Z25" i="50"/>
  <c r="C24" i="50"/>
  <c r="C15" i="50"/>
  <c r="AI19" i="50"/>
  <c r="C16" i="50"/>
  <c r="C17" i="50"/>
  <c r="V32" i="50"/>
  <c r="C7" i="50"/>
  <c r="AL11" i="50"/>
  <c r="C8" i="50"/>
  <c r="AI11" i="50"/>
  <c r="C9" i="50"/>
  <c r="C10" i="50"/>
  <c r="I19" i="50"/>
  <c r="L13" i="50"/>
  <c r="L19" i="50" s="1"/>
  <c r="Z19" i="50"/>
  <c r="AG19" i="50"/>
  <c r="AJ13" i="50"/>
  <c r="AJ19" i="50" s="1"/>
  <c r="AX19" i="50"/>
  <c r="AY19" i="50"/>
  <c r="J25" i="50"/>
  <c r="AH25" i="50"/>
  <c r="AN25" i="50"/>
  <c r="AR25" i="50"/>
  <c r="H32" i="50"/>
  <c r="AF32" i="50"/>
  <c r="AO32" i="50"/>
  <c r="H37" i="50"/>
  <c r="AF37" i="50"/>
  <c r="AU37" i="50"/>
  <c r="Q37" i="50"/>
  <c r="G11" i="50"/>
  <c r="Z11" i="50"/>
  <c r="AE11" i="50"/>
  <c r="N19" i="50"/>
  <c r="AL19" i="50"/>
  <c r="M25" i="50"/>
  <c r="V25" i="50"/>
  <c r="AT25" i="50"/>
  <c r="T32" i="50"/>
  <c r="AI32" i="50"/>
  <c r="AR32" i="50"/>
  <c r="AC32" i="50"/>
  <c r="C29" i="50"/>
  <c r="C30" i="50"/>
  <c r="T37" i="50"/>
  <c r="AR37" i="50"/>
  <c r="C36" i="50"/>
  <c r="C18" i="50"/>
  <c r="AT32" i="50"/>
  <c r="AW32" i="50"/>
  <c r="L34" i="50"/>
  <c r="L37" i="50" s="1"/>
  <c r="V37" i="50"/>
  <c r="AJ34" i="50"/>
  <c r="AJ37" i="50" s="1"/>
  <c r="AT37" i="50"/>
  <c r="I11" i="50"/>
  <c r="AG11" i="50"/>
  <c r="U11" i="50"/>
  <c r="AS11" i="50"/>
  <c r="R11" i="50"/>
  <c r="P19" i="50"/>
  <c r="R13" i="50"/>
  <c r="R19" i="50" s="1"/>
  <c r="D11" i="50"/>
  <c r="H11" i="50"/>
  <c r="L7" i="50"/>
  <c r="L11" i="50" s="1"/>
  <c r="P11" i="50"/>
  <c r="T11" i="50"/>
  <c r="X7" i="50"/>
  <c r="X11" i="50" s="1"/>
  <c r="AB11" i="50"/>
  <c r="AF11" i="50"/>
  <c r="AJ7" i="50"/>
  <c r="AJ11" i="50" s="1"/>
  <c r="AN11" i="50"/>
  <c r="AR11" i="50"/>
  <c r="AV7" i="50"/>
  <c r="AV11" i="50" s="1"/>
  <c r="B8" i="50"/>
  <c r="B10" i="50"/>
  <c r="M11" i="50"/>
  <c r="AW11" i="50"/>
  <c r="E19" i="50"/>
  <c r="Y19" i="50"/>
  <c r="AC19" i="50"/>
  <c r="AW19" i="50"/>
  <c r="C14" i="50"/>
  <c r="O16" i="50"/>
  <c r="B16" i="50"/>
  <c r="AE19" i="50"/>
  <c r="AA21" i="50"/>
  <c r="AA25" i="50" s="1"/>
  <c r="Y25" i="50"/>
  <c r="AY21" i="50"/>
  <c r="AY25" i="50" s="1"/>
  <c r="AW25" i="50"/>
  <c r="K32" i="50"/>
  <c r="C27" i="50"/>
  <c r="C28" i="50"/>
  <c r="E32" i="50"/>
  <c r="S11" i="50"/>
  <c r="AN19" i="50"/>
  <c r="AP13" i="50"/>
  <c r="AP19" i="50" s="1"/>
  <c r="B7" i="50"/>
  <c r="B9" i="50"/>
  <c r="E11" i="50"/>
  <c r="AK11" i="50"/>
  <c r="M19" i="50"/>
  <c r="AK19" i="50"/>
  <c r="G19" i="50"/>
  <c r="O21" i="50"/>
  <c r="B21" i="50"/>
  <c r="AK25" i="50"/>
  <c r="AM21" i="50"/>
  <c r="AM25" i="50" s="1"/>
  <c r="G37" i="50"/>
  <c r="I34" i="50"/>
  <c r="I37" i="50" s="1"/>
  <c r="AE37" i="50"/>
  <c r="AG34" i="50"/>
  <c r="AG37" i="50" s="1"/>
  <c r="AY35" i="50"/>
  <c r="AY37" i="50" s="1"/>
  <c r="AW37" i="50"/>
  <c r="Y11" i="50"/>
  <c r="O18" i="50"/>
  <c r="B18" i="50"/>
  <c r="S19" i="50"/>
  <c r="AQ11" i="50"/>
  <c r="AU11" i="50"/>
  <c r="D19" i="50"/>
  <c r="F13" i="50"/>
  <c r="F19" i="50" s="1"/>
  <c r="B13" i="50"/>
  <c r="U19" i="50"/>
  <c r="X19" i="50"/>
  <c r="AB19" i="50"/>
  <c r="AD13" i="50"/>
  <c r="AD19" i="50" s="1"/>
  <c r="AS19" i="50"/>
  <c r="AV19" i="50"/>
  <c r="O14" i="50"/>
  <c r="B14" i="50"/>
  <c r="AQ19" i="50"/>
  <c r="E25" i="50"/>
  <c r="C21" i="50"/>
  <c r="I25" i="50"/>
  <c r="O30" i="50"/>
  <c r="B30" i="50"/>
  <c r="AM30" i="50"/>
  <c r="AM32" i="50" s="1"/>
  <c r="AK32" i="50"/>
  <c r="B15" i="50"/>
  <c r="B17" i="50"/>
  <c r="D25" i="50"/>
  <c r="H25" i="50"/>
  <c r="L21" i="50"/>
  <c r="L25" i="50" s="1"/>
  <c r="P25" i="50"/>
  <c r="T25" i="50"/>
  <c r="X21" i="50"/>
  <c r="X25" i="50" s="1"/>
  <c r="AB25" i="50"/>
  <c r="AF25" i="50"/>
  <c r="AJ21" i="50"/>
  <c r="AJ25" i="50" s="1"/>
  <c r="AV21" i="50"/>
  <c r="AV25" i="50" s="1"/>
  <c r="B22" i="50"/>
  <c r="S32" i="50"/>
  <c r="U27" i="50"/>
  <c r="U32" i="50" s="1"/>
  <c r="X32" i="50"/>
  <c r="AQ32" i="50"/>
  <c r="AS27" i="50"/>
  <c r="AS32" i="50" s="1"/>
  <c r="AV32" i="50"/>
  <c r="O28" i="50"/>
  <c r="B28" i="50"/>
  <c r="M32" i="50"/>
  <c r="K37" i="50"/>
  <c r="AI37" i="50"/>
  <c r="AM37" i="50"/>
  <c r="C35" i="50"/>
  <c r="C37" i="50" s="1"/>
  <c r="E37" i="50"/>
  <c r="AK37" i="50"/>
  <c r="F25" i="50"/>
  <c r="R25" i="50"/>
  <c r="AP25" i="50"/>
  <c r="O23" i="50"/>
  <c r="B23" i="50"/>
  <c r="G32" i="50"/>
  <c r="I27" i="50"/>
  <c r="I32" i="50" s="1"/>
  <c r="AE32" i="50"/>
  <c r="AG27" i="50"/>
  <c r="AG32" i="50" s="1"/>
  <c r="AA37" i="50"/>
  <c r="G25" i="50"/>
  <c r="K25" i="50"/>
  <c r="S25" i="50"/>
  <c r="W25" i="50"/>
  <c r="AE25" i="50"/>
  <c r="AQ25" i="50"/>
  <c r="AU25" i="50"/>
  <c r="C23" i="50"/>
  <c r="W32" i="50"/>
  <c r="AA32" i="50"/>
  <c r="AU32" i="50"/>
  <c r="AY32" i="50"/>
  <c r="Y32" i="50"/>
  <c r="S37" i="50"/>
  <c r="U34" i="50"/>
  <c r="U37" i="50" s="1"/>
  <c r="AQ37" i="50"/>
  <c r="AS34" i="50"/>
  <c r="AS37" i="50" s="1"/>
  <c r="O35" i="50"/>
  <c r="O37" i="50" s="1"/>
  <c r="B35" i="50"/>
  <c r="B24" i="50"/>
  <c r="B27" i="50"/>
  <c r="F27" i="50"/>
  <c r="F32" i="50" s="1"/>
  <c r="R27" i="50"/>
  <c r="R32" i="50" s="1"/>
  <c r="AD27" i="50"/>
  <c r="AD32" i="50" s="1"/>
  <c r="AP27" i="50"/>
  <c r="AP32" i="50" s="1"/>
  <c r="B29" i="50"/>
  <c r="B31" i="50"/>
  <c r="B34" i="50"/>
  <c r="F34" i="50"/>
  <c r="F37" i="50" s="1"/>
  <c r="R34" i="50"/>
  <c r="R37" i="50" s="1"/>
  <c r="AD34" i="50"/>
  <c r="AD37" i="50" s="1"/>
  <c r="AP34" i="50"/>
  <c r="AP37" i="50" s="1"/>
  <c r="B36" i="50"/>
  <c r="R19" i="48"/>
  <c r="AY8" i="49"/>
  <c r="AY11" i="49"/>
  <c r="AX8" i="49"/>
  <c r="AX11" i="49"/>
  <c r="Z19" i="48"/>
  <c r="AW19" i="48"/>
  <c r="E19" i="48"/>
  <c r="Q19" i="48"/>
  <c r="AC19" i="48"/>
  <c r="AO19" i="48"/>
  <c r="AY18" i="48"/>
  <c r="M19" i="48"/>
  <c r="U19" i="48"/>
  <c r="AK19" i="48"/>
  <c r="I19" i="48"/>
  <c r="Y19" i="48"/>
  <c r="AS19" i="48"/>
  <c r="AY14" i="48"/>
  <c r="AX17" i="48"/>
  <c r="AX18" i="48"/>
  <c r="D19" i="48"/>
  <c r="H19" i="48"/>
  <c r="L19" i="48"/>
  <c r="P19" i="48"/>
  <c r="T19" i="48"/>
  <c r="X19" i="48"/>
  <c r="AB19" i="48"/>
  <c r="AF19" i="48"/>
  <c r="AJ19" i="48"/>
  <c r="AN19" i="48"/>
  <c r="AR19" i="48"/>
  <c r="AV19" i="48"/>
  <c r="AY15" i="48"/>
  <c r="AY16" i="48"/>
  <c r="AY17" i="48"/>
  <c r="C19" i="48"/>
  <c r="G19" i="48"/>
  <c r="K19" i="48"/>
  <c r="O19" i="48"/>
  <c r="S19" i="48"/>
  <c r="W19" i="48"/>
  <c r="AA19" i="48"/>
  <c r="AE19" i="48"/>
  <c r="AI19" i="48"/>
  <c r="AM19" i="48"/>
  <c r="AQ19" i="48"/>
  <c r="AU19" i="48"/>
  <c r="AX16" i="48"/>
  <c r="AX14" i="48"/>
  <c r="O19" i="50" l="1"/>
  <c r="O32" i="50"/>
  <c r="C19" i="50"/>
  <c r="C11" i="50"/>
  <c r="B19" i="50"/>
  <c r="B37" i="50"/>
  <c r="C25" i="50"/>
  <c r="B25" i="50"/>
  <c r="B11" i="50"/>
  <c r="C32" i="50"/>
  <c r="B32" i="50"/>
  <c r="O25" i="50"/>
  <c r="AY19" i="48"/>
  <c r="AX19" i="48"/>
  <c r="AX34" i="47"/>
  <c r="AW34" i="47"/>
  <c r="AY34" i="47" s="1"/>
  <c r="T34" i="47"/>
  <c r="S34" i="47"/>
  <c r="U34" i="47" s="1"/>
  <c r="K34" i="47"/>
  <c r="J34" i="47"/>
  <c r="L34" i="47" s="1"/>
  <c r="AY33" i="47"/>
  <c r="AX33" i="47"/>
  <c r="AW33" i="47"/>
  <c r="AI33" i="47"/>
  <c r="AH33" i="47"/>
  <c r="AJ33" i="47" s="1"/>
  <c r="T33" i="47"/>
  <c r="S33" i="47"/>
  <c r="U33" i="47" s="1"/>
  <c r="L33" i="47"/>
  <c r="K33" i="47"/>
  <c r="J33" i="47"/>
  <c r="AX32" i="47"/>
  <c r="AW32" i="47"/>
  <c r="AW35" i="47" s="1"/>
  <c r="AI32" i="47"/>
  <c r="AH32" i="47"/>
  <c r="AX29" i="47"/>
  <c r="AW29" i="47"/>
  <c r="AY29" i="47" s="1"/>
  <c r="AJ29" i="47"/>
  <c r="AI29" i="47"/>
  <c r="AH29" i="47"/>
  <c r="U29" i="47"/>
  <c r="T29" i="47"/>
  <c r="S29" i="47"/>
  <c r="K29" i="47"/>
  <c r="J29" i="47"/>
  <c r="L29" i="47" s="1"/>
  <c r="AX28" i="47"/>
  <c r="AW28" i="47"/>
  <c r="AY28" i="47" s="1"/>
  <c r="AI28" i="47"/>
  <c r="AH28" i="47"/>
  <c r="AJ28" i="47" s="1"/>
  <c r="T28" i="47"/>
  <c r="S28" i="47"/>
  <c r="U28" i="47" s="1"/>
  <c r="K28" i="47"/>
  <c r="J28" i="47"/>
  <c r="L28" i="47" s="1"/>
  <c r="AX27" i="47"/>
  <c r="AW27" i="47"/>
  <c r="AY27" i="47" s="1"/>
  <c r="T27" i="47"/>
  <c r="S27" i="47"/>
  <c r="U27" i="47" s="1"/>
  <c r="K27" i="47"/>
  <c r="J27" i="47"/>
  <c r="L27" i="47" s="1"/>
  <c r="AX26" i="47"/>
  <c r="AW26" i="47"/>
  <c r="AY26" i="47" s="1"/>
  <c r="T26" i="47"/>
  <c r="S26" i="47"/>
  <c r="U26" i="47" s="1"/>
  <c r="K26" i="47"/>
  <c r="J26" i="47"/>
  <c r="L26" i="47" s="1"/>
  <c r="AX25" i="47"/>
  <c r="AW25" i="47"/>
  <c r="AI25" i="47"/>
  <c r="AH25" i="47"/>
  <c r="AJ25" i="47" s="1"/>
  <c r="K25" i="47"/>
  <c r="J25" i="47"/>
  <c r="AX22" i="47"/>
  <c r="AW22" i="47"/>
  <c r="AY22" i="47" s="1"/>
  <c r="AI22" i="47"/>
  <c r="AH22" i="47"/>
  <c r="AJ22" i="47" s="1"/>
  <c r="U22" i="47"/>
  <c r="T22" i="47"/>
  <c r="S22" i="47"/>
  <c r="K22" i="47"/>
  <c r="J22" i="47"/>
  <c r="L22" i="47" s="1"/>
  <c r="AX21" i="47"/>
  <c r="AW21" i="47"/>
  <c r="AY21" i="47" s="1"/>
  <c r="U21" i="47"/>
  <c r="T21" i="47"/>
  <c r="S21" i="47"/>
  <c r="AX20" i="47"/>
  <c r="AW20" i="47"/>
  <c r="AY20" i="47" s="1"/>
  <c r="AI20" i="47"/>
  <c r="AH20" i="47"/>
  <c r="AJ20" i="47" s="1"/>
  <c r="T20" i="47"/>
  <c r="S20" i="47"/>
  <c r="U20" i="47" s="1"/>
  <c r="AX19" i="47"/>
  <c r="AW19" i="47"/>
  <c r="AX16" i="47"/>
  <c r="AW16" i="47"/>
  <c r="AY16" i="47" s="1"/>
  <c r="AI16" i="47"/>
  <c r="AH16" i="47"/>
  <c r="AJ16" i="47" s="1"/>
  <c r="T16" i="47"/>
  <c r="S16" i="47"/>
  <c r="U16" i="47" s="1"/>
  <c r="AX15" i="47"/>
  <c r="AW15" i="47"/>
  <c r="AY15" i="47" s="1"/>
  <c r="T15" i="47"/>
  <c r="S15" i="47"/>
  <c r="U15" i="47" s="1"/>
  <c r="K15" i="47"/>
  <c r="J15" i="47"/>
  <c r="L15" i="47" s="1"/>
  <c r="AX14" i="47"/>
  <c r="AW14" i="47"/>
  <c r="AY14" i="47" s="1"/>
  <c r="AI14" i="47"/>
  <c r="AH14" i="47"/>
  <c r="AJ14" i="47" s="1"/>
  <c r="T14" i="47"/>
  <c r="S14" i="47"/>
  <c r="U14" i="47" s="1"/>
  <c r="AX13" i="47"/>
  <c r="AW13" i="47"/>
  <c r="AY13" i="47" s="1"/>
  <c r="AI12" i="47"/>
  <c r="AH12" i="47"/>
  <c r="AJ12" i="47" s="1"/>
  <c r="T12" i="47"/>
  <c r="S12" i="47"/>
  <c r="U12" i="47" s="1"/>
  <c r="K12" i="47"/>
  <c r="J12" i="47"/>
  <c r="L12" i="47" s="1"/>
  <c r="T11" i="47"/>
  <c r="S11" i="47"/>
  <c r="U11" i="47" s="1"/>
  <c r="AX8" i="47"/>
  <c r="AW8" i="47"/>
  <c r="AY8" i="47" s="1"/>
  <c r="AI8" i="47"/>
  <c r="AH8" i="47"/>
  <c r="AJ8" i="47" s="1"/>
  <c r="T8" i="47"/>
  <c r="S8" i="47"/>
  <c r="U8" i="47" s="1"/>
  <c r="AX7" i="47"/>
  <c r="AW7" i="47"/>
  <c r="AY7" i="47" s="1"/>
  <c r="AJ7" i="47"/>
  <c r="AI7" i="47"/>
  <c r="AH7" i="47"/>
  <c r="T7" i="47"/>
  <c r="S7" i="47"/>
  <c r="U7" i="47" s="1"/>
  <c r="K7" i="47"/>
  <c r="J7" i="47"/>
  <c r="L7" i="47" s="1"/>
  <c r="AX6" i="47"/>
  <c r="AW6" i="47"/>
  <c r="AY6" i="47" s="1"/>
  <c r="AI6" i="47"/>
  <c r="AH6" i="47"/>
  <c r="AJ6" i="47" s="1"/>
  <c r="T6" i="47"/>
  <c r="S6" i="47"/>
  <c r="U6" i="47" s="1"/>
  <c r="K6" i="47"/>
  <c r="J6" i="47"/>
  <c r="L6" i="47" s="1"/>
  <c r="AX5" i="47"/>
  <c r="AW5" i="47"/>
  <c r="AW9" i="47" s="1"/>
  <c r="AI5" i="47"/>
  <c r="AH5" i="47"/>
  <c r="AH9" i="47" s="1"/>
  <c r="U5" i="47"/>
  <c r="T5" i="47"/>
  <c r="S5" i="47"/>
  <c r="K5" i="47"/>
  <c r="J5" i="47"/>
  <c r="L5" i="47" s="1"/>
  <c r="AX37" i="4"/>
  <c r="AX6" i="4"/>
  <c r="AY6" i="4"/>
  <c r="AX9" i="4"/>
  <c r="AY9" i="4"/>
  <c r="U9" i="47" l="1"/>
  <c r="T9" i="47"/>
  <c r="AJ5" i="47"/>
  <c r="AJ9" i="47" s="1"/>
  <c r="AX23" i="47"/>
  <c r="K30" i="47"/>
  <c r="AX30" i="47"/>
  <c r="AX35" i="47"/>
  <c r="S9" i="47"/>
  <c r="AI9" i="47"/>
  <c r="AY5" i="47"/>
  <c r="AY9" i="47" s="1"/>
  <c r="AW23" i="47"/>
  <c r="AY19" i="47"/>
  <c r="AY23" i="47" s="1"/>
  <c r="AX9" i="47"/>
  <c r="AW30" i="47"/>
  <c r="AY25" i="47"/>
  <c r="AY30" i="47" s="1"/>
  <c r="J30" i="47"/>
  <c r="L25" i="47"/>
  <c r="L30" i="47" s="1"/>
  <c r="AJ32" i="47"/>
  <c r="AY32" i="47"/>
  <c r="AY35" i="47" s="1"/>
  <c r="B3" i="46"/>
  <c r="C3" i="46" s="1"/>
  <c r="B3" i="45"/>
  <c r="C3" i="45" s="1"/>
  <c r="B3" i="44"/>
  <c r="C3" i="44" s="1"/>
  <c r="B3" i="43"/>
  <c r="C3" i="43" s="1"/>
  <c r="B3" i="42"/>
  <c r="C3" i="42" s="1"/>
  <c r="B3" i="41"/>
  <c r="C3" i="41" s="1"/>
  <c r="B3" i="40"/>
  <c r="C3" i="40" s="1"/>
  <c r="B3" i="39"/>
  <c r="C3" i="39" s="1"/>
  <c r="B3" i="38"/>
  <c r="C3" i="38" s="1"/>
  <c r="B3" i="37"/>
  <c r="C3" i="37" s="1"/>
  <c r="B3" i="36"/>
  <c r="C3" i="36" s="1"/>
  <c r="B3" i="35"/>
  <c r="C3" i="35" s="1"/>
  <c r="B3" i="34"/>
  <c r="C3" i="34" s="1"/>
  <c r="B3" i="33"/>
  <c r="C3" i="33" s="1"/>
  <c r="B3" i="32"/>
  <c r="C3" i="32" s="1"/>
  <c r="B3" i="16"/>
  <c r="C3" i="16" s="1"/>
  <c r="R1" i="13"/>
  <c r="R1" i="12"/>
  <c r="R1" i="11"/>
  <c r="R1" i="10"/>
  <c r="R1" i="9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AV9" i="4"/>
  <c r="AU9" i="4"/>
  <c r="AS9" i="4"/>
  <c r="AR9" i="4"/>
  <c r="AP9" i="4"/>
  <c r="AO9" i="4"/>
  <c r="AM9" i="4"/>
  <c r="AL9" i="4"/>
  <c r="AJ9" i="4"/>
  <c r="AI9" i="4"/>
  <c r="AG9" i="4"/>
  <c r="AF9" i="4"/>
  <c r="AD9" i="4"/>
  <c r="AC9" i="4"/>
  <c r="AA9" i="4"/>
  <c r="Z9" i="4"/>
  <c r="X9" i="4"/>
  <c r="W9" i="4"/>
  <c r="U9" i="4"/>
  <c r="T9" i="4"/>
  <c r="R9" i="4"/>
  <c r="Q9" i="4"/>
  <c r="O9" i="4"/>
  <c r="N9" i="4"/>
  <c r="L9" i="4"/>
  <c r="K9" i="4"/>
  <c r="I9" i="4"/>
  <c r="H9" i="4"/>
  <c r="F9" i="4"/>
  <c r="E9" i="4"/>
  <c r="C9" i="4"/>
  <c r="B9" i="4"/>
  <c r="AV6" i="4"/>
  <c r="AU6" i="4"/>
  <c r="AS6" i="4"/>
  <c r="AR6" i="4"/>
  <c r="AP6" i="4"/>
  <c r="AO6" i="4"/>
  <c r="AM6" i="4"/>
  <c r="AL6" i="4"/>
  <c r="AJ6" i="4"/>
  <c r="AI6" i="4"/>
  <c r="AG6" i="4"/>
  <c r="AF6" i="4"/>
  <c r="AD6" i="4"/>
  <c r="AC6" i="4"/>
  <c r="AA6" i="4"/>
  <c r="Z6" i="4"/>
  <c r="X6" i="4"/>
  <c r="W6" i="4"/>
  <c r="U6" i="4"/>
  <c r="T6" i="4"/>
  <c r="R6" i="4"/>
  <c r="Q6" i="4"/>
  <c r="O6" i="4"/>
  <c r="N6" i="4"/>
  <c r="L6" i="4"/>
  <c r="K6" i="4"/>
  <c r="I6" i="4"/>
  <c r="H6" i="4"/>
  <c r="F6" i="4"/>
  <c r="E6" i="4"/>
  <c r="C6" i="4"/>
  <c r="B6" i="4"/>
  <c r="E1" i="4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D1" i="3"/>
  <c r="K39" i="7" l="1"/>
  <c r="R2" i="46"/>
  <c r="W3" i="40"/>
  <c r="E2" i="45"/>
  <c r="BG2" i="39"/>
  <c r="T2" i="43"/>
  <c r="N2" i="38"/>
  <c r="S2" i="43"/>
  <c r="AV3" i="37"/>
  <c r="BA3" i="42"/>
  <c r="AU3" i="37"/>
  <c r="AK2" i="42"/>
  <c r="U2" i="37"/>
  <c r="AJ2" i="42"/>
  <c r="K2" i="46"/>
  <c r="H3" i="40"/>
  <c r="M2" i="36"/>
  <c r="BB2" i="45"/>
  <c r="H2" i="40"/>
  <c r="AO2" i="44"/>
  <c r="AL3" i="38"/>
  <c r="BD2" i="42"/>
  <c r="AV2" i="37"/>
  <c r="AC3" i="46"/>
  <c r="T2" i="41"/>
  <c r="BA2" i="45"/>
  <c r="AX3" i="39"/>
  <c r="AC3" i="43"/>
  <c r="D3" i="38"/>
  <c r="P3" i="43"/>
  <c r="AS2" i="38"/>
  <c r="AX2" i="43"/>
  <c r="AR2" i="38"/>
  <c r="AJ3" i="42"/>
  <c r="V3" i="37"/>
  <c r="AA3" i="42"/>
  <c r="BG2" i="46"/>
  <c r="E2" i="41"/>
  <c r="Q2" i="37"/>
  <c r="AS3" i="45"/>
  <c r="BD2" i="40"/>
  <c r="AF3" i="44"/>
  <c r="AI2" i="39"/>
  <c r="AU3" i="42"/>
  <c r="AO3" i="37"/>
  <c r="AT3" i="42"/>
  <c r="X3" i="37"/>
  <c r="AC3" i="42"/>
  <c r="W3" i="37"/>
  <c r="M2" i="42"/>
  <c r="AM3" i="36"/>
  <c r="L2" i="42"/>
  <c r="AL3" i="45"/>
  <c r="AO2" i="40"/>
  <c r="AN3" i="35"/>
  <c r="AD2" i="45"/>
  <c r="AI3" i="39"/>
  <c r="Q2" i="44"/>
  <c r="N3" i="38"/>
  <c r="AF2" i="42"/>
  <c r="X2" i="37"/>
  <c r="AE2" i="42"/>
  <c r="G2" i="37"/>
  <c r="N2" i="42"/>
  <c r="F2" i="37"/>
  <c r="O2" i="41"/>
  <c r="BH2" i="46"/>
  <c r="N2" i="41"/>
  <c r="W2" i="45"/>
  <c r="T3" i="39"/>
  <c r="Y2" i="35"/>
  <c r="AN2" i="40"/>
  <c r="AM3" i="44"/>
  <c r="AG2" i="41"/>
  <c r="P2" i="41"/>
  <c r="AY2" i="40"/>
  <c r="AX2" i="40"/>
  <c r="AV3" i="38"/>
  <c r="V2" i="31"/>
  <c r="R2" i="33"/>
  <c r="V3" i="35"/>
  <c r="D2" i="31"/>
  <c r="BB2" i="35"/>
  <c r="AD10" i="30"/>
  <c r="AK2" i="35"/>
  <c r="D10" i="30"/>
  <c r="BH2" i="32"/>
  <c r="F3" i="38"/>
  <c r="W3" i="42"/>
  <c r="AV3" i="39"/>
  <c r="AM3" i="39"/>
  <c r="W2" i="39"/>
  <c r="V2" i="39"/>
  <c r="T3" i="37"/>
  <c r="AW9" i="30"/>
  <c r="BH2" i="41"/>
  <c r="H2" i="46"/>
  <c r="N3" i="42"/>
  <c r="BB2" i="42"/>
  <c r="BC2" i="41"/>
  <c r="BB2" i="41"/>
  <c r="I2" i="40"/>
  <c r="AN3" i="31"/>
  <c r="M3" i="33"/>
  <c r="S2" i="36"/>
  <c r="AZ2" i="31"/>
  <c r="AS3" i="35"/>
  <c r="AA2" i="31"/>
  <c r="AJ3" i="35"/>
  <c r="BA10" i="30"/>
  <c r="V2" i="33"/>
  <c r="AA3" i="39"/>
  <c r="AF2" i="44"/>
  <c r="AZ3" i="40"/>
  <c r="AI3" i="40"/>
  <c r="S2" i="40"/>
  <c r="R2" i="40"/>
  <c r="P3" i="38"/>
  <c r="AW10" i="30"/>
  <c r="AM3" i="32"/>
  <c r="BC2" i="35"/>
  <c r="AE10" i="30"/>
  <c r="AD2" i="35"/>
  <c r="E10" i="30"/>
  <c r="M2" i="35"/>
  <c r="AY3" i="37"/>
  <c r="P2" i="42"/>
  <c r="AW2" i="39"/>
  <c r="D3" i="45"/>
  <c r="P2" i="40"/>
  <c r="AW2" i="44"/>
  <c r="AT3" i="38"/>
  <c r="F3" i="42"/>
  <c r="BD2" i="37"/>
  <c r="E3" i="42"/>
  <c r="AM2" i="37"/>
  <c r="AT2" i="42"/>
  <c r="AL2" i="37"/>
  <c r="AU2" i="41"/>
  <c r="AO2" i="36"/>
  <c r="AT2" i="41"/>
  <c r="BC2" i="45"/>
  <c r="AZ3" i="39"/>
  <c r="BE2" i="35"/>
  <c r="AO3" i="44"/>
  <c r="AZ2" i="39"/>
  <c r="AK2" i="43"/>
  <c r="AE2" i="38"/>
  <c r="S3" i="41"/>
  <c r="Q3" i="36"/>
  <c r="BA3" i="45"/>
  <c r="F3" i="40"/>
  <c r="AN3" i="44"/>
  <c r="AQ2" i="39"/>
  <c r="D2" i="43"/>
  <c r="AW3" i="37"/>
  <c r="BB3" i="42"/>
  <c r="AF3" i="37"/>
  <c r="AK3" i="42"/>
  <c r="AE3" i="37"/>
  <c r="U2" i="42"/>
  <c r="E2" i="37"/>
  <c r="T2" i="42"/>
  <c r="AT3" i="45"/>
  <c r="AW2" i="40"/>
  <c r="AV3" i="35"/>
  <c r="AL2" i="45"/>
  <c r="AQ3" i="39"/>
  <c r="Y2" i="44"/>
  <c r="V3" i="38"/>
  <c r="AN2" i="42"/>
  <c r="AF2" i="37"/>
  <c r="AM2" i="42"/>
  <c r="O2" i="37"/>
  <c r="V2" i="42"/>
  <c r="N2" i="37"/>
  <c r="W2" i="41"/>
  <c r="AE3" i="46"/>
  <c r="V2" i="41"/>
  <c r="AE2" i="45"/>
  <c r="AB3" i="39"/>
  <c r="AG2" i="35"/>
  <c r="Q3" i="44"/>
  <c r="AB2" i="39"/>
  <c r="M2" i="43"/>
  <c r="G2" i="38"/>
  <c r="AP2" i="41"/>
  <c r="AR2" i="36"/>
  <c r="AO2" i="41"/>
  <c r="AM3" i="46"/>
  <c r="X2" i="41"/>
  <c r="M2" i="46"/>
  <c r="BG2" i="40"/>
  <c r="AU3" i="45"/>
  <c r="BF2" i="40"/>
  <c r="J3" i="44"/>
  <c r="E2" i="39"/>
  <c r="L3" i="34"/>
  <c r="D2" i="39"/>
  <c r="AE3" i="42"/>
  <c r="E2" i="40"/>
  <c r="AU3" i="39"/>
  <c r="AE2" i="39"/>
  <c r="AD2" i="39"/>
  <c r="AB3" i="37"/>
  <c r="I10" i="30"/>
  <c r="AN2" i="32"/>
  <c r="O2" i="35"/>
  <c r="AC9" i="30"/>
  <c r="AO3" i="34"/>
  <c r="AN8" i="30"/>
  <c r="X3" i="34"/>
  <c r="O8" i="30"/>
  <c r="F10" i="31"/>
  <c r="AO2" i="46"/>
  <c r="U3" i="40"/>
  <c r="AB3" i="38"/>
  <c r="S3" i="38"/>
  <c r="BB3" i="37"/>
  <c r="BA3" i="37"/>
  <c r="AE2" i="36"/>
  <c r="K8" i="30"/>
  <c r="X2" i="40"/>
  <c r="AN2" i="44"/>
  <c r="Q2" i="41"/>
  <c r="AY3" i="40"/>
  <c r="AI2" i="40"/>
  <c r="AH2" i="40"/>
  <c r="AF3" i="38"/>
  <c r="F2" i="31"/>
  <c r="BA3" i="32"/>
  <c r="E3" i="35"/>
  <c r="AM10" i="30"/>
  <c r="AL2" i="35"/>
  <c r="N10" i="30"/>
  <c r="U2" i="35"/>
  <c r="U9" i="30"/>
  <c r="AR2" i="32"/>
  <c r="AV2" i="38"/>
  <c r="X2" i="42"/>
  <c r="X3" i="39"/>
  <c r="O3" i="39"/>
  <c r="AX3" i="38"/>
  <c r="AW3" i="38"/>
  <c r="AY2" i="37"/>
  <c r="O9" i="30"/>
  <c r="P2" i="32"/>
  <c r="AP3" i="34"/>
  <c r="AO8" i="30"/>
  <c r="Q3" i="34"/>
  <c r="P8" i="30"/>
  <c r="BE2" i="34"/>
  <c r="AB3" i="45"/>
  <c r="N2" i="40"/>
  <c r="AW3" i="44"/>
  <c r="BH2" i="39"/>
  <c r="AS2" i="43"/>
  <c r="AM2" i="38"/>
  <c r="AQ3" i="41"/>
  <c r="AD3" i="36"/>
  <c r="AN3" i="41"/>
  <c r="BG2" i="36"/>
  <c r="BD2" i="41"/>
  <c r="AS2" i="46"/>
  <c r="AH3" i="40"/>
  <c r="AB2" i="46"/>
  <c r="AG3" i="40"/>
  <c r="AP3" i="44"/>
  <c r="AK2" i="39"/>
  <c r="AR3" i="34"/>
  <c r="AH2" i="44"/>
  <c r="AM3" i="38"/>
  <c r="X3" i="42"/>
  <c r="AV2" i="46"/>
  <c r="BA3" i="40"/>
  <c r="AU2" i="46"/>
  <c r="AT2" i="45"/>
  <c r="AY3" i="39"/>
  <c r="AG2" i="44"/>
  <c r="AD3" i="38"/>
  <c r="AV2" i="42"/>
  <c r="AN2" i="37"/>
  <c r="AU2" i="42"/>
  <c r="W2" i="37"/>
  <c r="AD2" i="42"/>
  <c r="V2" i="37"/>
  <c r="AE2" i="41"/>
  <c r="Y2" i="36"/>
  <c r="AD2" i="41"/>
  <c r="AM2" i="45"/>
  <c r="AJ3" i="39"/>
  <c r="AO2" i="35"/>
  <c r="Y3" i="44"/>
  <c r="AJ2" i="39"/>
  <c r="U2" i="43"/>
  <c r="O2" i="38"/>
  <c r="AX2" i="41"/>
  <c r="AZ2" i="36"/>
  <c r="AW2" i="41"/>
  <c r="AI2" i="36"/>
  <c r="AF2" i="41"/>
  <c r="U2" i="46"/>
  <c r="J3" i="40"/>
  <c r="D2" i="46"/>
  <c r="I3" i="40"/>
  <c r="R3" i="44"/>
  <c r="M2" i="39"/>
  <c r="T3" i="34"/>
  <c r="J2" i="44"/>
  <c r="O3" i="38"/>
  <c r="BE2" i="42"/>
  <c r="X2" i="46"/>
  <c r="AC3" i="40"/>
  <c r="W2" i="46"/>
  <c r="AB3" i="40"/>
  <c r="F2" i="46"/>
  <c r="K3" i="40"/>
  <c r="BE2" i="45"/>
  <c r="AT3" i="39"/>
  <c r="AN2" i="45"/>
  <c r="AS3" i="39"/>
  <c r="BB3" i="43"/>
  <c r="AW2" i="38"/>
  <c r="AT3" i="33"/>
  <c r="AW2" i="46"/>
  <c r="R2" i="41"/>
  <c r="AJ3" i="38"/>
  <c r="AA3" i="38"/>
  <c r="K2" i="38"/>
  <c r="J2" i="38"/>
  <c r="AM2" i="36"/>
  <c r="S8" i="30"/>
  <c r="AS8" i="31"/>
  <c r="BG2" i="34"/>
  <c r="AY7" i="30"/>
  <c r="AH2" i="34"/>
  <c r="Z7" i="30"/>
  <c r="Q2" i="34"/>
  <c r="R3" i="36"/>
  <c r="BA4" i="31"/>
  <c r="H3" i="44"/>
  <c r="AP2" i="39"/>
  <c r="BC2" i="37"/>
  <c r="BB2" i="37"/>
  <c r="BE2" i="36"/>
  <c r="N3" i="45"/>
  <c r="P3" i="35"/>
  <c r="T2" i="36"/>
  <c r="BD2" i="38"/>
  <c r="O3" i="42"/>
  <c r="AN3" i="39"/>
  <c r="AE3" i="39"/>
  <c r="O2" i="39"/>
  <c r="N2" i="39"/>
  <c r="J3" i="37"/>
  <c r="AG9" i="30"/>
  <c r="X2" i="32"/>
  <c r="AX3" i="34"/>
  <c r="AW8" i="30"/>
  <c r="Y3" i="34"/>
  <c r="X8" i="30"/>
  <c r="H3" i="34"/>
  <c r="AW7" i="30"/>
  <c r="D9" i="31"/>
  <c r="AJ3" i="45"/>
  <c r="D3" i="40"/>
  <c r="BA2" i="38"/>
  <c r="AZ2" i="38"/>
  <c r="AD3" i="37"/>
  <c r="AD3" i="46"/>
  <c r="AJ2" i="37"/>
  <c r="BE2" i="37"/>
  <c r="F7" i="31"/>
  <c r="AI2" i="34"/>
  <c r="AA7" i="30"/>
  <c r="J2" i="34"/>
  <c r="AN6" i="30"/>
  <c r="AN3" i="33"/>
  <c r="AD3" i="43"/>
  <c r="AC3" i="38"/>
  <c r="AQ3" i="36"/>
  <c r="AP2" i="44"/>
  <c r="AU3" i="38"/>
  <c r="AF3" i="42"/>
  <c r="BD2" i="46"/>
  <c r="J2" i="41"/>
  <c r="BC2" i="46"/>
  <c r="I2" i="41"/>
  <c r="AL2" i="46"/>
  <c r="AQ3" i="40"/>
  <c r="AF3" i="45"/>
  <c r="AA2" i="40"/>
  <c r="O3" i="45"/>
  <c r="Z2" i="40"/>
  <c r="AI2" i="44"/>
  <c r="X3" i="38"/>
  <c r="AC2" i="34"/>
  <c r="AL2" i="43"/>
  <c r="AF2" i="38"/>
  <c r="Q2" i="42"/>
  <c r="AI3" i="45"/>
  <c r="AT2" i="40"/>
  <c r="AH3" i="45"/>
  <c r="AG3" i="44"/>
  <c r="AR2" i="39"/>
  <c r="AC2" i="43"/>
  <c r="W2" i="38"/>
  <c r="BF2" i="41"/>
  <c r="BH2" i="36"/>
  <c r="BE2" i="41"/>
  <c r="AQ2" i="36"/>
  <c r="AN2" i="41"/>
  <c r="AC2" i="46"/>
  <c r="R3" i="40"/>
  <c r="L2" i="46"/>
  <c r="Q3" i="40"/>
  <c r="Z3" i="44"/>
  <c r="U2" i="39"/>
  <c r="AB3" i="34"/>
  <c r="R2" i="44"/>
  <c r="W3" i="38"/>
  <c r="H3" i="42"/>
  <c r="AF2" i="46"/>
  <c r="AK3" i="40"/>
  <c r="AE2" i="46"/>
  <c r="AJ3" i="40"/>
  <c r="N2" i="46"/>
  <c r="S3" i="40"/>
  <c r="H3" i="45"/>
  <c r="BB3" i="39"/>
  <c r="AV2" i="45"/>
  <c r="BA3" i="39"/>
  <c r="K2" i="44"/>
  <c r="BE2" i="38"/>
  <c r="E2" i="34"/>
  <c r="N2" i="43"/>
  <c r="H2" i="38"/>
  <c r="T3" i="41"/>
  <c r="K3" i="45"/>
  <c r="V2" i="40"/>
  <c r="J3" i="45"/>
  <c r="M2" i="40"/>
  <c r="AX2" i="45"/>
  <c r="D2" i="40"/>
  <c r="AR3" i="44"/>
  <c r="AM2" i="39"/>
  <c r="AA3" i="44"/>
  <c r="AL2" i="39"/>
  <c r="G2" i="43"/>
  <c r="AJ3" i="37"/>
  <c r="AA2" i="33"/>
  <c r="P3" i="44"/>
  <c r="AX2" i="39"/>
  <c r="E3" i="37"/>
  <c r="D3" i="37"/>
  <c r="H3" i="36"/>
  <c r="V3" i="45"/>
  <c r="X3" i="35"/>
  <c r="AC2" i="36"/>
  <c r="D3" i="31"/>
  <c r="AR3" i="33"/>
  <c r="D6" i="30"/>
  <c r="F3" i="33"/>
  <c r="BB4" i="30"/>
  <c r="AU2" i="33"/>
  <c r="AI3" i="35"/>
  <c r="Q2" i="31"/>
  <c r="AW2" i="42"/>
  <c r="Q3" i="37"/>
  <c r="BB2" i="46"/>
  <c r="AV3" i="45"/>
  <c r="AE3" i="45"/>
  <c r="AY2" i="44"/>
  <c r="AS2" i="34"/>
  <c r="F3" i="35"/>
  <c r="AR3" i="45"/>
  <c r="M3" i="40"/>
  <c r="T3" i="38"/>
  <c r="K3" i="38"/>
  <c r="AT3" i="37"/>
  <c r="AS3" i="37"/>
  <c r="AH3" i="37"/>
  <c r="AC3" i="37"/>
  <c r="AQ7" i="31"/>
  <c r="AQ2" i="34"/>
  <c r="AI7" i="30"/>
  <c r="R2" i="34"/>
  <c r="J7" i="30"/>
  <c r="AZ3" i="33"/>
  <c r="AK2" i="36"/>
  <c r="AC3" i="31"/>
  <c r="I2" i="44"/>
  <c r="AK3" i="38"/>
  <c r="AE2" i="37"/>
  <c r="AD2" i="37"/>
  <c r="AG2" i="36"/>
  <c r="AU2" i="45"/>
  <c r="AW2" i="35"/>
  <c r="D2" i="36"/>
  <c r="AK2" i="31"/>
  <c r="H3" i="33"/>
  <c r="D5" i="30"/>
  <c r="AN2" i="33"/>
  <c r="AF3" i="30"/>
  <c r="W2" i="33"/>
  <c r="BG2" i="41"/>
  <c r="AT2" i="43"/>
  <c r="AN2" i="38"/>
  <c r="Y2" i="42"/>
  <c r="AQ3" i="45"/>
  <c r="BB2" i="40"/>
  <c r="AP3" i="45"/>
  <c r="AS2" i="40"/>
  <c r="Y3" i="45"/>
  <c r="AJ2" i="40"/>
  <c r="Y2" i="45"/>
  <c r="N3" i="39"/>
  <c r="H2" i="45"/>
  <c r="M3" i="39"/>
  <c r="AM2" i="43"/>
  <c r="Q2" i="38"/>
  <c r="BG2" i="33"/>
  <c r="Y3" i="42"/>
  <c r="S3" i="37"/>
  <c r="AA2" i="41"/>
  <c r="AB2" i="45"/>
  <c r="AG3" i="39"/>
  <c r="AA2" i="45"/>
  <c r="Z2" i="44"/>
  <c r="AE3" i="38"/>
  <c r="P3" i="42"/>
  <c r="AN2" i="46"/>
  <c r="AS3" i="40"/>
  <c r="AM2" i="46"/>
  <c r="AR3" i="40"/>
  <c r="V2" i="46"/>
  <c r="AA3" i="40"/>
  <c r="P3" i="45"/>
  <c r="K2" i="40"/>
  <c r="BD2" i="45"/>
  <c r="J2" i="40"/>
  <c r="S2" i="44"/>
  <c r="H3" i="38"/>
  <c r="M2" i="34"/>
  <c r="V2" i="43"/>
  <c r="P2" i="38"/>
  <c r="AR3" i="41"/>
  <c r="S3" i="45"/>
  <c r="AD2" i="40"/>
  <c r="R3" i="45"/>
  <c r="U2" i="40"/>
  <c r="BF2" i="45"/>
  <c r="L2" i="40"/>
  <c r="AZ3" i="44"/>
  <c r="AU2" i="39"/>
  <c r="AI3" i="44"/>
  <c r="AT2" i="39"/>
  <c r="O2" i="43"/>
  <c r="AR3" i="37"/>
  <c r="AI2" i="33"/>
  <c r="BF2" i="42"/>
  <c r="H3" i="46"/>
  <c r="BB3" i="40"/>
  <c r="D2" i="45"/>
  <c r="I3" i="39"/>
  <c r="BB3" i="44"/>
  <c r="BE2" i="39"/>
  <c r="AK3" i="44"/>
  <c r="AV2" i="39"/>
  <c r="AC2" i="44"/>
  <c r="Z3" i="38"/>
  <c r="T2" i="44"/>
  <c r="Y3" i="38"/>
  <c r="AY2" i="42"/>
  <c r="AA2" i="37"/>
  <c r="AW2" i="32"/>
  <c r="AN3" i="42"/>
  <c r="Y3" i="37"/>
  <c r="D3" i="46"/>
  <c r="E2" i="46"/>
  <c r="AM3" i="45"/>
  <c r="BG2" i="44"/>
  <c r="BA2" i="34"/>
  <c r="O3" i="35"/>
  <c r="AV10" i="30"/>
  <c r="Y2" i="33"/>
  <c r="H3" i="30"/>
  <c r="AW3" i="32"/>
  <c r="AM2" i="30"/>
  <c r="R3" i="32"/>
  <c r="AB2" i="35"/>
  <c r="U3" i="45"/>
  <c r="AD3" i="40"/>
  <c r="O2" i="46"/>
  <c r="AH2" i="45"/>
  <c r="AB3" i="44"/>
  <c r="K3" i="44"/>
  <c r="AP3" i="42"/>
  <c r="K2" i="33"/>
  <c r="AY3" i="34"/>
  <c r="BE2" i="44"/>
  <c r="AS3" i="38"/>
  <c r="AU2" i="37"/>
  <c r="AT2" i="37"/>
  <c r="AW2" i="36"/>
  <c r="E3" i="45"/>
  <c r="H3" i="35"/>
  <c r="L2" i="36"/>
  <c r="AS2" i="31"/>
  <c r="T3" i="33"/>
  <c r="AC5" i="30"/>
  <c r="AV2" i="33"/>
  <c r="R4" i="30"/>
  <c r="AE2" i="33"/>
  <c r="S3" i="35"/>
  <c r="AZ10" i="30"/>
  <c r="AG2" i="42"/>
  <c r="P2" i="37"/>
  <c r="AD2" i="46"/>
  <c r="X3" i="45"/>
  <c r="F3" i="45"/>
  <c r="AA2" i="44"/>
  <c r="U2" i="34"/>
  <c r="AV2" i="35"/>
  <c r="X10" i="30"/>
  <c r="AX3" i="32"/>
  <c r="AN2" i="30"/>
  <c r="D3" i="32"/>
  <c r="O2" i="30"/>
  <c r="N2" i="45"/>
  <c r="W2" i="40"/>
  <c r="BG2" i="45"/>
  <c r="AC3" i="44"/>
  <c r="AG3" i="42"/>
  <c r="AA3" i="37"/>
  <c r="AI2" i="41"/>
  <c r="AJ2" i="45"/>
  <c r="AO3" i="39"/>
  <c r="AI2" i="45"/>
  <c r="AF3" i="39"/>
  <c r="R2" i="45"/>
  <c r="W3" i="39"/>
  <c r="L3" i="44"/>
  <c r="G2" i="39"/>
  <c r="AZ2" i="44"/>
  <c r="F2" i="39"/>
  <c r="Z3" i="42"/>
  <c r="BG2" i="37"/>
  <c r="AN3" i="32"/>
  <c r="R2" i="42"/>
  <c r="Y2" i="46"/>
  <c r="N3" i="40"/>
  <c r="O3" i="44"/>
  <c r="Z2" i="39"/>
  <c r="N3" i="44"/>
  <c r="AD2" i="43"/>
  <c r="X2" i="38"/>
  <c r="I2" i="42"/>
  <c r="AA3" i="45"/>
  <c r="AL2" i="40"/>
  <c r="Z3" i="45"/>
  <c r="AC2" i="40"/>
  <c r="I3" i="45"/>
  <c r="T2" i="40"/>
  <c r="I2" i="45"/>
  <c r="BC2" i="39"/>
  <c r="AQ3" i="44"/>
  <c r="BB2" i="39"/>
  <c r="W2" i="43"/>
  <c r="AZ3" i="37"/>
  <c r="AQ2" i="33"/>
  <c r="I3" i="42"/>
  <c r="BF2" i="37"/>
  <c r="K2" i="41"/>
  <c r="L2" i="45"/>
  <c r="Q3" i="39"/>
  <c r="K2" i="45"/>
  <c r="H3" i="39"/>
  <c r="AS3" i="44"/>
  <c r="BD2" i="39"/>
  <c r="AK2" i="44"/>
  <c r="AH3" i="38"/>
  <c r="AB2" i="44"/>
  <c r="AG3" i="38"/>
  <c r="BG2" i="42"/>
  <c r="AI2" i="37"/>
  <c r="BE2" i="32"/>
  <c r="AC3" i="41"/>
  <c r="AZ3" i="45"/>
  <c r="AU2" i="40"/>
  <c r="AV2" i="44"/>
  <c r="BA3" i="38"/>
  <c r="AU2" i="44"/>
  <c r="AR3" i="38"/>
  <c r="AD2" i="44"/>
  <c r="AI3" i="38"/>
  <c r="AG2" i="43"/>
  <c r="S2" i="38"/>
  <c r="X2" i="43"/>
  <c r="R2" i="38"/>
  <c r="BA2" i="41"/>
  <c r="AU2" i="36"/>
  <c r="AC3" i="45"/>
  <c r="AL3" i="40"/>
  <c r="E3" i="46"/>
  <c r="AP2" i="45"/>
  <c r="AJ3" i="44"/>
  <c r="S3" i="44"/>
  <c r="AX3" i="42"/>
  <c r="S2" i="33"/>
  <c r="H2" i="35"/>
  <c r="H9" i="30"/>
  <c r="AU2" i="32"/>
  <c r="AY10" i="29"/>
  <c r="V2" i="32"/>
  <c r="Z10" i="29"/>
  <c r="H10" i="31"/>
  <c r="O3" i="34"/>
  <c r="BA3" i="43"/>
  <c r="K2" i="39"/>
  <c r="AD3" i="44"/>
  <c r="N2" i="44"/>
  <c r="Q2" i="43"/>
  <c r="H2" i="43"/>
  <c r="AK2" i="41"/>
  <c r="AT9" i="31"/>
  <c r="AR2" i="34"/>
  <c r="AO2" i="42"/>
  <c r="F3" i="37"/>
  <c r="AT2" i="46"/>
  <c r="AN3" i="45"/>
  <c r="W3" i="45"/>
  <c r="AQ2" i="44"/>
  <c r="AK2" i="34"/>
  <c r="BD2" i="35"/>
  <c r="AF10" i="30"/>
  <c r="I2" i="33"/>
  <c r="AV2" i="30"/>
  <c r="S3" i="32"/>
  <c r="W2" i="30"/>
  <c r="AS2" i="32"/>
  <c r="L2" i="35"/>
  <c r="V2" i="45"/>
  <c r="AE2" i="40"/>
  <c r="AX3" i="45"/>
  <c r="J2" i="45"/>
  <c r="BA2" i="44"/>
  <c r="AR2" i="44"/>
  <c r="R3" i="42"/>
  <c r="V3" i="32"/>
  <c r="AI3" i="34"/>
  <c r="AH8" i="30"/>
  <c r="W2" i="32"/>
  <c r="AA10" i="29"/>
  <c r="AC10" i="31"/>
  <c r="AZ9" i="29"/>
  <c r="F2" i="43"/>
  <c r="BC2" i="38"/>
  <c r="W2" i="44"/>
  <c r="Z2" i="43"/>
  <c r="W3" i="44"/>
  <c r="D3" i="44"/>
  <c r="BD2" i="43"/>
  <c r="Q2" i="32"/>
  <c r="H2" i="44"/>
  <c r="I3" i="37"/>
  <c r="S2" i="45"/>
  <c r="AS2" i="44"/>
  <c r="J3" i="42"/>
  <c r="I2" i="46"/>
  <c r="BC2" i="44"/>
  <c r="AO2" i="43"/>
  <c r="AD3" i="41"/>
  <c r="AK2" i="45"/>
  <c r="AY2" i="43"/>
  <c r="T3" i="42"/>
  <c r="AN3" i="40"/>
  <c r="AL3" i="44"/>
  <c r="AS2" i="41"/>
  <c r="H9" i="31"/>
  <c r="BB4" i="31"/>
  <c r="V3" i="42"/>
  <c r="Q2" i="40"/>
  <c r="G2" i="46"/>
  <c r="AH3" i="42"/>
  <c r="AE2" i="32"/>
  <c r="E9" i="31"/>
  <c r="AE2" i="44"/>
  <c r="M2" i="41"/>
  <c r="AN7" i="31"/>
  <c r="AR2" i="41"/>
  <c r="AW3" i="45"/>
  <c r="L3" i="42"/>
  <c r="BH2" i="42"/>
  <c r="AF3" i="40"/>
  <c r="AD8" i="31"/>
  <c r="T2" i="34"/>
  <c r="AG2" i="37"/>
  <c r="E7" i="31"/>
  <c r="BD2" i="36"/>
  <c r="F4" i="31"/>
  <c r="AL2" i="36"/>
  <c r="AX2" i="31"/>
  <c r="Q3" i="33"/>
  <c r="AI3" i="37"/>
  <c r="AS3" i="42"/>
  <c r="BC2" i="43"/>
  <c r="AV2" i="32"/>
  <c r="AQ9" i="30"/>
  <c r="AV8" i="30"/>
  <c r="M10" i="30"/>
  <c r="BB8" i="30"/>
  <c r="V3" i="34"/>
  <c r="M8" i="30"/>
  <c r="BA7" i="31"/>
  <c r="M7" i="30"/>
  <c r="BB9" i="28"/>
  <c r="E8" i="29"/>
  <c r="N5" i="28"/>
  <c r="I6" i="29"/>
  <c r="AQ2" i="41"/>
  <c r="H2" i="39"/>
  <c r="BA2" i="39"/>
  <c r="BA2" i="31"/>
  <c r="AM5" i="30"/>
  <c r="AL4" i="30"/>
  <c r="Y2" i="37"/>
  <c r="AF7" i="30"/>
  <c r="G2" i="34"/>
  <c r="F2" i="36"/>
  <c r="AM2" i="31"/>
  <c r="J2" i="30"/>
  <c r="AL7" i="28"/>
  <c r="AH6" i="29"/>
  <c r="Q2" i="28"/>
  <c r="AK4" i="29"/>
  <c r="AR2" i="45"/>
  <c r="Q2" i="45"/>
  <c r="AD2" i="36"/>
  <c r="R8" i="30"/>
  <c r="K10" i="29"/>
  <c r="AJ9" i="29"/>
  <c r="AZ2" i="35"/>
  <c r="AX4" i="30"/>
  <c r="U2" i="33"/>
  <c r="AP2" i="35"/>
  <c r="R10" i="30"/>
  <c r="D9" i="29"/>
  <c r="N6" i="28"/>
  <c r="L5" i="29"/>
  <c r="AT9" i="27"/>
  <c r="O3" i="29"/>
  <c r="AW3" i="39"/>
  <c r="Z3" i="40"/>
  <c r="AG2" i="32"/>
  <c r="AL3" i="35"/>
  <c r="M3" i="35"/>
  <c r="BA2" i="35"/>
  <c r="AV2" i="34"/>
  <c r="AC2" i="30"/>
  <c r="AI2" i="32"/>
  <c r="U3" i="34"/>
  <c r="T8" i="30"/>
  <c r="AG7" i="29"/>
  <c r="R3" i="39"/>
  <c r="AM3" i="37"/>
  <c r="AG2" i="38"/>
  <c r="E2" i="31"/>
  <c r="P3" i="30"/>
  <c r="AU2" i="30"/>
  <c r="X2" i="36"/>
  <c r="H7" i="30"/>
  <c r="AB3" i="33"/>
  <c r="AG3" i="35"/>
  <c r="O2" i="31"/>
  <c r="M10" i="29"/>
  <c r="L7" i="28"/>
  <c r="J6" i="29"/>
  <c r="AR10" i="27"/>
  <c r="M4" i="29"/>
  <c r="BA2" i="42"/>
  <c r="F10" i="30"/>
  <c r="D2" i="32"/>
  <c r="J2" i="35"/>
  <c r="AD10" i="28"/>
  <c r="V5" i="28"/>
  <c r="U5" i="28"/>
  <c r="P2" i="44"/>
  <c r="O3" i="43"/>
  <c r="AQ3" i="42"/>
  <c r="J2" i="46"/>
  <c r="L2" i="43"/>
  <c r="Q2" i="46"/>
  <c r="E3" i="44"/>
  <c r="AW2" i="43"/>
  <c r="BB3" i="41"/>
  <c r="AS2" i="45"/>
  <c r="BG2" i="43"/>
  <c r="AB3" i="42"/>
  <c r="AV3" i="40"/>
  <c r="X3" i="44"/>
  <c r="AL3" i="42"/>
  <c r="E2" i="42"/>
  <c r="AG2" i="40"/>
  <c r="AD3" i="42"/>
  <c r="Y2" i="40"/>
  <c r="AH3" i="31"/>
  <c r="R2" i="31"/>
  <c r="Y2" i="41"/>
  <c r="AN3" i="38"/>
  <c r="AM2" i="44"/>
  <c r="AC2" i="41"/>
  <c r="H8" i="31"/>
  <c r="AD3" i="31"/>
  <c r="BC2" i="42"/>
  <c r="AR3" i="39"/>
  <c r="AR2" i="31"/>
  <c r="S3" i="39"/>
  <c r="F2" i="42"/>
  <c r="G2" i="41"/>
  <c r="F2" i="41"/>
  <c r="L3" i="39"/>
  <c r="BB2" i="31"/>
  <c r="AX2" i="33"/>
  <c r="BB3" i="35"/>
  <c r="AJ2" i="31"/>
  <c r="AC3" i="35"/>
  <c r="K2" i="31"/>
  <c r="T3" i="35"/>
  <c r="AK10" i="30"/>
  <c r="F2" i="33"/>
  <c r="AY2" i="41"/>
  <c r="X2" i="39"/>
  <c r="BE2" i="40"/>
  <c r="AM3" i="31"/>
  <c r="AC6" i="30"/>
  <c r="AB5" i="30"/>
  <c r="AR2" i="37"/>
  <c r="AN7" i="30"/>
  <c r="O2" i="34"/>
  <c r="N2" i="36"/>
  <c r="AU2" i="31"/>
  <c r="Z2" i="30"/>
  <c r="AT7" i="28"/>
  <c r="AP6" i="29"/>
  <c r="Y2" i="28"/>
  <c r="AS4" i="29"/>
  <c r="AZ2" i="45"/>
  <c r="AG2" i="45"/>
  <c r="T3" i="36"/>
  <c r="AX8" i="30"/>
  <c r="AQ10" i="29"/>
  <c r="R10" i="29"/>
  <c r="K3" i="35"/>
  <c r="V5" i="30"/>
  <c r="AC2" i="33"/>
  <c r="AX2" i="35"/>
  <c r="Z10" i="30"/>
  <c r="M9" i="29"/>
  <c r="V6" i="28"/>
  <c r="T5" i="29"/>
  <c r="BB9" i="27"/>
  <c r="W3" i="29"/>
  <c r="F2" i="40"/>
  <c r="AP3" i="40"/>
  <c r="AY2" i="33"/>
  <c r="AT3" i="35"/>
  <c r="U3" i="35"/>
  <c r="L3" i="35"/>
  <c r="F3" i="34"/>
  <c r="AK2" i="30"/>
  <c r="AQ2" i="32"/>
  <c r="AC3" i="34"/>
  <c r="AB8" i="30"/>
  <c r="AO7" i="29"/>
  <c r="F4" i="28"/>
  <c r="AV3" i="29"/>
  <c r="AU7" i="30"/>
  <c r="G2" i="29"/>
  <c r="AY2" i="45"/>
  <c r="AC2" i="37"/>
  <c r="AD2" i="31"/>
  <c r="R3" i="34"/>
  <c r="AX2" i="34"/>
  <c r="AG2" i="34"/>
  <c r="AT2" i="33"/>
  <c r="P10" i="29"/>
  <c r="AH8" i="31"/>
  <c r="N2" i="34"/>
  <c r="E7" i="30"/>
  <c r="S6" i="29"/>
  <c r="AR2" i="43"/>
  <c r="E2" i="44"/>
  <c r="E2" i="36"/>
  <c r="AZ7" i="30"/>
  <c r="U3" i="37"/>
  <c r="AW2" i="37"/>
  <c r="AJ2" i="35"/>
  <c r="H4" i="30"/>
  <c r="E2" i="33"/>
  <c r="Z2" i="35"/>
  <c r="Z2" i="42"/>
  <c r="AH2" i="39"/>
  <c r="P2" i="39"/>
  <c r="AX2" i="38"/>
  <c r="AB2" i="41"/>
  <c r="M3" i="38"/>
  <c r="S2" i="41"/>
  <c r="P3" i="39"/>
  <c r="AP3" i="38"/>
  <c r="AQ2" i="37"/>
  <c r="BC2" i="40"/>
  <c r="AZ3" i="38"/>
  <c r="AA2" i="38"/>
  <c r="BC2" i="36"/>
  <c r="AH3" i="39"/>
  <c r="AC2" i="38"/>
  <c r="BA2" i="37"/>
  <c r="D3" i="36"/>
  <c r="V2" i="44"/>
  <c r="AF10" i="31"/>
  <c r="AX2" i="37"/>
  <c r="H2" i="34"/>
  <c r="D3" i="42"/>
  <c r="AH4" i="31"/>
  <c r="Z2" i="45"/>
  <c r="BB3" i="32"/>
  <c r="AI10" i="29"/>
  <c r="BD2" i="34"/>
  <c r="BF2" i="43"/>
  <c r="AT8" i="31"/>
  <c r="U3" i="36"/>
  <c r="BH2" i="45"/>
  <c r="BH2" i="40"/>
  <c r="AL3" i="39"/>
  <c r="AK3" i="39"/>
  <c r="AO2" i="38"/>
  <c r="AO10" i="30"/>
  <c r="U3" i="32"/>
  <c r="AU2" i="35"/>
  <c r="W10" i="30"/>
  <c r="V2" i="35"/>
  <c r="AN9" i="30"/>
  <c r="E2" i="35"/>
  <c r="AU8" i="30"/>
  <c r="AB2" i="32"/>
  <c r="AP3" i="37"/>
  <c r="AO2" i="45"/>
  <c r="BB3" i="36"/>
  <c r="AD9" i="30"/>
  <c r="H2" i="30"/>
  <c r="AH10" i="29"/>
  <c r="AA3" i="35"/>
  <c r="AH5" i="30"/>
  <c r="AK2" i="33"/>
  <c r="BF2" i="35"/>
  <c r="AH10" i="30"/>
  <c r="U9" i="29"/>
  <c r="AD6" i="28"/>
  <c r="AB5" i="29"/>
  <c r="L10" i="27"/>
  <c r="AE3" i="29"/>
  <c r="Z2" i="41"/>
  <c r="AX3" i="40"/>
  <c r="N3" i="33"/>
  <c r="AB2" i="36"/>
  <c r="BA3" i="35"/>
  <c r="AR3" i="35"/>
  <c r="W3" i="34"/>
  <c r="AS2" i="30"/>
  <c r="AY2" i="32"/>
  <c r="AK3" i="34"/>
  <c r="AJ8" i="30"/>
  <c r="AW7" i="29"/>
  <c r="F5" i="28"/>
  <c r="E4" i="29"/>
  <c r="AN8" i="27"/>
  <c r="O2" i="29"/>
  <c r="AN3" i="46"/>
  <c r="AK2" i="37"/>
  <c r="AL2" i="31"/>
  <c r="Z3" i="34"/>
  <c r="BF2" i="34"/>
  <c r="AO2" i="34"/>
  <c r="BB2" i="33"/>
  <c r="X10" i="29"/>
  <c r="BB8" i="31"/>
  <c r="V2" i="34"/>
  <c r="N7" i="30"/>
  <c r="AA6" i="29"/>
  <c r="J2" i="28"/>
  <c r="AN2" i="29"/>
  <c r="BB2" i="30"/>
  <c r="J8" i="28"/>
  <c r="H3" i="41"/>
  <c r="D2" i="44"/>
  <c r="AE3" i="36"/>
  <c r="AO2" i="33"/>
  <c r="P2" i="33"/>
  <c r="AT3" i="32"/>
  <c r="T2" i="32"/>
  <c r="AH2" i="36"/>
  <c r="BD2" i="31"/>
  <c r="AR2" i="33"/>
  <c r="E4" i="30"/>
  <c r="D5" i="29"/>
  <c r="BF2" i="39"/>
  <c r="AD3" i="39"/>
  <c r="Y2" i="32"/>
  <c r="AD3" i="35"/>
  <c r="D3" i="35"/>
  <c r="AS2" i="35"/>
  <c r="AF2" i="34"/>
  <c r="U2" i="30"/>
  <c r="AA2" i="32"/>
  <c r="M3" i="34"/>
  <c r="L8" i="30"/>
  <c r="Y7" i="29"/>
  <c r="BF2" i="28"/>
  <c r="AF3" i="29"/>
  <c r="I7" i="30"/>
  <c r="AZ9" i="28"/>
  <c r="AH3" i="44"/>
  <c r="AG3" i="32"/>
  <c r="M3" i="30"/>
  <c r="AG8" i="31"/>
  <c r="AH2" i="28"/>
  <c r="BA4" i="30"/>
  <c r="AJ2" i="41"/>
  <c r="U3" i="38"/>
  <c r="BH2" i="38"/>
  <c r="AK3" i="37"/>
  <c r="O3" i="40"/>
  <c r="F2" i="38"/>
  <c r="E3" i="40"/>
  <c r="I2" i="39"/>
  <c r="AI2" i="38"/>
  <c r="E3" i="36"/>
  <c r="AP3" i="39"/>
  <c r="AK2" i="38"/>
  <c r="N3" i="37"/>
  <c r="AF3" i="36"/>
  <c r="AA2" i="39"/>
  <c r="P3" i="37"/>
  <c r="AA3" i="36"/>
  <c r="AF3" i="35"/>
  <c r="M3" i="42"/>
  <c r="H5" i="31"/>
  <c r="J2" i="36"/>
  <c r="AL2" i="33"/>
  <c r="H2" i="41"/>
  <c r="N2" i="31"/>
  <c r="F2" i="44"/>
  <c r="AD9" i="31"/>
  <c r="I2" i="37"/>
  <c r="AM3" i="33"/>
  <c r="AL2" i="42"/>
  <c r="E3" i="31"/>
  <c r="AK3" i="35"/>
  <c r="X2" i="44"/>
  <c r="AN2" i="39"/>
  <c r="R3" i="38"/>
  <c r="Q3" i="38"/>
  <c r="S2" i="37"/>
  <c r="AY8" i="30"/>
  <c r="H2" i="32"/>
  <c r="AH3" i="34"/>
  <c r="AG8" i="30"/>
  <c r="I3" i="34"/>
  <c r="H8" i="30"/>
  <c r="AW2" i="34"/>
  <c r="M3" i="37"/>
  <c r="D8" i="31"/>
  <c r="AH2" i="41"/>
  <c r="AC2" i="42"/>
  <c r="V3" i="33"/>
  <c r="BF2" i="36"/>
  <c r="R2" i="36"/>
  <c r="I2" i="36"/>
  <c r="AE3" i="34"/>
  <c r="BA2" i="30"/>
  <c r="BG2" i="32"/>
  <c r="AS3" i="34"/>
  <c r="AR8" i="30"/>
  <c r="F8" i="29"/>
  <c r="O5" i="28"/>
  <c r="N4" i="29"/>
  <c r="AV8" i="27"/>
  <c r="W2" i="29"/>
  <c r="AJ2" i="36"/>
  <c r="AQ2" i="38"/>
  <c r="AT2" i="31"/>
  <c r="G2" i="35"/>
  <c r="AG3" i="34"/>
  <c r="P3" i="34"/>
  <c r="D3" i="33"/>
  <c r="AF10" i="29"/>
  <c r="AH9" i="31"/>
  <c r="AD2" i="34"/>
  <c r="V7" i="30"/>
  <c r="AI6" i="29"/>
  <c r="R2" i="28"/>
  <c r="AV2" i="29"/>
  <c r="N3" i="30"/>
  <c r="R8" i="28"/>
  <c r="G2" i="42"/>
  <c r="AY3" i="44"/>
  <c r="L2" i="37"/>
  <c r="AW2" i="33"/>
  <c r="X2" i="33"/>
  <c r="G2" i="33"/>
  <c r="AJ2" i="32"/>
  <c r="AX2" i="36"/>
  <c r="H3" i="31"/>
  <c r="AZ2" i="33"/>
  <c r="AF4" i="30"/>
  <c r="M5" i="29"/>
  <c r="AN5" i="30"/>
  <c r="U9" i="28"/>
  <c r="AI9" i="29"/>
  <c r="F2" i="45"/>
  <c r="E2" i="38"/>
  <c r="Y3" i="40"/>
  <c r="S3" i="34"/>
  <c r="AD10" i="31"/>
  <c r="AQ8" i="31"/>
  <c r="AN8" i="31"/>
  <c r="D4" i="31"/>
  <c r="R3" i="35"/>
  <c r="AQ10" i="30"/>
  <c r="M3" i="32"/>
  <c r="S2" i="30"/>
  <c r="AO3" i="29"/>
  <c r="AQ2" i="45"/>
  <c r="M2" i="37"/>
  <c r="AG10" i="30"/>
  <c r="J3" i="34"/>
  <c r="AP2" i="34"/>
  <c r="Y2" i="34"/>
  <c r="AD2" i="33"/>
  <c r="H10" i="29"/>
  <c r="BB7" i="31"/>
  <c r="F2" i="34"/>
  <c r="AF6" i="30"/>
  <c r="K6" i="29"/>
  <c r="AS10" i="27"/>
  <c r="X2" i="29"/>
  <c r="V2" i="30"/>
  <c r="AR7" i="28"/>
  <c r="AZ3" i="34"/>
  <c r="E9" i="30"/>
  <c r="O2" i="36"/>
  <c r="P9" i="30"/>
  <c r="AO2" i="30"/>
  <c r="AS8" i="29"/>
  <c r="AG2" i="46"/>
  <c r="V3" i="44"/>
  <c r="H3" i="43"/>
  <c r="S2" i="42"/>
  <c r="L3" i="45"/>
  <c r="G2" i="44"/>
  <c r="T2" i="45"/>
  <c r="BA3" i="44"/>
  <c r="AJ2" i="44"/>
  <c r="H3" i="32"/>
  <c r="BD2" i="44"/>
  <c r="AL2" i="44"/>
  <c r="AF2" i="43"/>
  <c r="AX2" i="46"/>
  <c r="AZ2" i="43"/>
  <c r="AH2" i="43"/>
  <c r="K3" i="42"/>
  <c r="AX2" i="44"/>
  <c r="Y2" i="43"/>
  <c r="AZ2" i="34"/>
  <c r="AM7" i="31"/>
  <c r="AH2" i="42"/>
  <c r="E3" i="41"/>
  <c r="M3" i="45"/>
  <c r="T3" i="44"/>
  <c r="AQ3" i="34"/>
  <c r="F2" i="32"/>
  <c r="BB2" i="43"/>
  <c r="AR3" i="42"/>
  <c r="AB2" i="34"/>
  <c r="D5" i="31"/>
  <c r="H2" i="37"/>
  <c r="T2" i="38"/>
  <c r="AS2" i="37"/>
  <c r="AI2" i="46"/>
  <c r="AT2" i="36"/>
  <c r="AH2" i="37"/>
  <c r="F6" i="31"/>
  <c r="AA2" i="34"/>
  <c r="S7" i="30"/>
  <c r="BA3" i="33"/>
  <c r="V6" i="30"/>
  <c r="AD3" i="33"/>
  <c r="P2" i="36"/>
  <c r="AW2" i="31"/>
  <c r="AS3" i="36"/>
  <c r="BG2" i="38"/>
  <c r="H6" i="31"/>
  <c r="W2" i="35"/>
  <c r="AW3" i="34"/>
  <c r="AF3" i="34"/>
  <c r="AC3" i="33"/>
  <c r="AN10" i="29"/>
  <c r="E10" i="31"/>
  <c r="AL2" i="34"/>
  <c r="AD7" i="30"/>
  <c r="AQ6" i="29"/>
  <c r="Z2" i="28"/>
  <c r="BD2" i="29"/>
  <c r="Q4" i="30"/>
  <c r="Z8" i="28"/>
  <c r="O2" i="42"/>
  <c r="P2" i="45"/>
  <c r="AA8" i="30"/>
  <c r="AF3" i="33"/>
  <c r="BD2" i="33"/>
  <c r="AM2" i="33"/>
  <c r="AZ2" i="32"/>
  <c r="M3" i="36"/>
  <c r="BB3" i="31"/>
  <c r="BH2" i="33"/>
  <c r="AT4" i="30"/>
  <c r="U5" i="29"/>
  <c r="AD6" i="30"/>
  <c r="AC9" i="28"/>
  <c r="AT9" i="29"/>
  <c r="Z2" i="46"/>
  <c r="M2" i="38"/>
  <c r="AO3" i="40"/>
  <c r="P2" i="35"/>
  <c r="G2" i="32"/>
  <c r="F9" i="31"/>
  <c r="AN9" i="31"/>
  <c r="BA5" i="31"/>
  <c r="Z3" i="35"/>
  <c r="AY10" i="30"/>
  <c r="AC3" i="32"/>
  <c r="AA2" i="30"/>
  <c r="AW3" i="29"/>
  <c r="AR10" i="29"/>
  <c r="AC7" i="28"/>
  <c r="U8" i="29"/>
  <c r="AE3" i="40"/>
  <c r="U3" i="44"/>
  <c r="S2" i="46"/>
  <c r="AH2" i="33"/>
  <c r="T2" i="31"/>
  <c r="AT10" i="30"/>
  <c r="Z2" i="31"/>
  <c r="T10" i="30"/>
  <c r="K2" i="35"/>
  <c r="BA8" i="30"/>
  <c r="AM10" i="31"/>
  <c r="E10" i="29"/>
  <c r="AG2" i="29"/>
  <c r="L3" i="40"/>
  <c r="F3" i="43"/>
  <c r="AS2" i="36"/>
  <c r="AG2" i="33"/>
  <c r="H2" i="33"/>
  <c r="AF3" i="32"/>
  <c r="L2" i="32"/>
  <c r="W2" i="36"/>
  <c r="AV2" i="31"/>
  <c r="AJ2" i="33"/>
  <c r="S3" i="30"/>
  <c r="AU4" i="29"/>
  <c r="AD4" i="30"/>
  <c r="AA8" i="28"/>
  <c r="S9" i="29"/>
  <c r="AQ3" i="37"/>
  <c r="AM3" i="35"/>
  <c r="Z2" i="36"/>
  <c r="AD3" i="34"/>
  <c r="K3" i="30"/>
  <c r="N8" i="29"/>
  <c r="Q6" i="29"/>
  <c r="T3" i="45"/>
  <c r="O2" i="44"/>
  <c r="AZ3" i="42"/>
  <c r="U2" i="41"/>
  <c r="AV3" i="44"/>
  <c r="K2" i="43"/>
  <c r="F3" i="44"/>
  <c r="AT2" i="44"/>
  <c r="AN2" i="43"/>
  <c r="BF2" i="46"/>
  <c r="BH2" i="43"/>
  <c r="AP2" i="43"/>
  <c r="S3" i="42"/>
  <c r="AK3" i="45"/>
  <c r="AM3" i="42"/>
  <c r="U3" i="42"/>
  <c r="D2" i="42"/>
  <c r="AP2" i="42"/>
  <c r="AF3" i="41"/>
  <c r="AG3" i="33"/>
  <c r="AQ2" i="31"/>
  <c r="AF2" i="40"/>
  <c r="AQ2" i="40"/>
  <c r="D3" i="43"/>
  <c r="I2" i="43"/>
  <c r="AJ2" i="34"/>
  <c r="D6" i="31"/>
  <c r="AZ2" i="41"/>
  <c r="AM2" i="41"/>
  <c r="BF2" i="33"/>
  <c r="S2" i="31"/>
  <c r="W2" i="42"/>
  <c r="AN3" i="36"/>
  <c r="AZ2" i="46"/>
  <c r="O2" i="45"/>
  <c r="Q2" i="35"/>
  <c r="AU3" i="35"/>
  <c r="AC2" i="31"/>
  <c r="BE2" i="33"/>
  <c r="AM4" i="30"/>
  <c r="AF2" i="33"/>
  <c r="O3" i="30"/>
  <c r="O2" i="33"/>
  <c r="BH2" i="35"/>
  <c r="AJ10" i="30"/>
  <c r="AA2" i="43"/>
  <c r="X2" i="45"/>
  <c r="AI8" i="30"/>
  <c r="BB3" i="33"/>
  <c r="S3" i="33"/>
  <c r="BC2" i="33"/>
  <c r="Q3" i="32"/>
  <c r="AT3" i="36"/>
  <c r="AN4" i="31"/>
  <c r="O3" i="33"/>
  <c r="H5" i="30"/>
  <c r="AC5" i="29"/>
  <c r="L7" i="30"/>
  <c r="BA9" i="28"/>
  <c r="I10" i="29"/>
  <c r="AH2" i="46"/>
  <c r="Q2" i="39"/>
  <c r="AW3" i="40"/>
  <c r="X2" i="35"/>
  <c r="AM2" i="32"/>
  <c r="N2" i="32"/>
  <c r="E2" i="32"/>
  <c r="AM6" i="31"/>
  <c r="AH3" i="35"/>
  <c r="H2" i="31"/>
  <c r="AQ3" i="32"/>
  <c r="AI2" i="30"/>
  <c r="F4" i="29"/>
  <c r="I2" i="30"/>
  <c r="AK7" i="28"/>
  <c r="AC8" i="29"/>
  <c r="AM3" i="40"/>
  <c r="Q3" i="45"/>
  <c r="AA2" i="46"/>
  <c r="AP2" i="33"/>
  <c r="AB2" i="31"/>
  <c r="BB10" i="30"/>
  <c r="AH2" i="31"/>
  <c r="AB10" i="30"/>
  <c r="S2" i="35"/>
  <c r="S9" i="30"/>
  <c r="J2" i="32"/>
  <c r="N10" i="29"/>
  <c r="AO2" i="29"/>
  <c r="BB8" i="29"/>
  <c r="M6" i="28"/>
  <c r="F7" i="29"/>
  <c r="U2" i="45"/>
  <c r="AV2" i="41"/>
  <c r="AI2" i="42"/>
  <c r="AS9" i="31"/>
  <c r="Q8" i="30"/>
  <c r="AP7" i="30"/>
  <c r="AM8" i="30"/>
  <c r="AD8" i="30"/>
  <c r="BC2" i="34"/>
  <c r="AH3" i="36"/>
  <c r="AG5" i="31"/>
  <c r="F5" i="30"/>
  <c r="I3" i="44"/>
  <c r="AN3" i="37"/>
  <c r="AC3" i="39"/>
  <c r="K3" i="34"/>
  <c r="AR9" i="31"/>
  <c r="F8" i="31"/>
  <c r="AF7" i="31"/>
  <c r="BE2" i="31"/>
  <c r="J3" i="35"/>
  <c r="AI10" i="30"/>
  <c r="V3" i="40"/>
  <c r="Y2" i="39"/>
  <c r="AY2" i="38"/>
  <c r="AG3" i="36"/>
  <c r="G2" i="40"/>
  <c r="Q3" i="42"/>
  <c r="Y3" i="39"/>
  <c r="F3" i="39"/>
  <c r="AO3" i="38"/>
  <c r="BA3" i="41"/>
  <c r="J2" i="39"/>
  <c r="AQ3" i="38"/>
  <c r="Z2" i="38"/>
  <c r="D2" i="41"/>
  <c r="AT2" i="38"/>
  <c r="AB2" i="38"/>
  <c r="AQ2" i="46"/>
  <c r="S2" i="39"/>
  <c r="P2" i="43"/>
  <c r="AR7" i="30"/>
  <c r="Z2" i="37"/>
  <c r="P2" i="46"/>
  <c r="D3" i="41"/>
  <c r="AM2" i="40"/>
  <c r="BH2" i="44"/>
  <c r="AP8" i="30"/>
  <c r="J10" i="29"/>
  <c r="E3" i="38"/>
  <c r="AI3" i="42"/>
  <c r="AZ2" i="37"/>
  <c r="BB2" i="36"/>
  <c r="T3" i="40"/>
  <c r="AW2" i="45"/>
  <c r="AF2" i="45"/>
  <c r="E3" i="43"/>
  <c r="AH3" i="33"/>
  <c r="AN2" i="35"/>
  <c r="P10" i="30"/>
  <c r="AH3" i="32"/>
  <c r="AF2" i="30"/>
  <c r="BB2" i="32"/>
  <c r="G2" i="30"/>
  <c r="AC2" i="32"/>
  <c r="AU3" i="34"/>
  <c r="AP2" i="46"/>
  <c r="AG2" i="39"/>
  <c r="AB2" i="42"/>
  <c r="AF2" i="35"/>
  <c r="BC2" i="32"/>
  <c r="AD2" i="32"/>
  <c r="M2" i="32"/>
  <c r="AE7" i="31"/>
  <c r="AP3" i="35"/>
  <c r="P2" i="31"/>
  <c r="D2" i="33"/>
  <c r="AQ2" i="30"/>
  <c r="O4" i="29"/>
  <c r="Y2" i="30"/>
  <c r="AS7" i="28"/>
  <c r="AK8" i="29"/>
  <c r="AU3" i="40"/>
  <c r="AG3" i="45"/>
  <c r="AP2" i="38"/>
  <c r="U3" i="33"/>
  <c r="BH2" i="31"/>
  <c r="AI2" i="31"/>
  <c r="AP2" i="31"/>
  <c r="AR10" i="30"/>
  <c r="AA2" i="35"/>
  <c r="AK9" i="30"/>
  <c r="R2" i="32"/>
  <c r="V10" i="29"/>
  <c r="AW2" i="29"/>
  <c r="L9" i="29"/>
  <c r="U6" i="28"/>
  <c r="O7" i="29"/>
  <c r="AC2" i="45"/>
  <c r="F3" i="41"/>
  <c r="AE2" i="43"/>
  <c r="AE10" i="31"/>
  <c r="Y8" i="30"/>
  <c r="AX7" i="30"/>
  <c r="D9" i="30"/>
  <c r="AL8" i="30"/>
  <c r="E3" i="34"/>
  <c r="R2" i="37"/>
  <c r="AC6" i="31"/>
  <c r="AS5" i="30"/>
  <c r="V9" i="28"/>
  <c r="AN7" i="29"/>
  <c r="E4" i="28"/>
  <c r="AQ5" i="29"/>
  <c r="Z3" i="39"/>
  <c r="D2" i="38"/>
  <c r="AC2" i="39"/>
  <c r="M2" i="31"/>
  <c r="BA3" i="30"/>
  <c r="BC2" i="30"/>
  <c r="BA2" i="36"/>
  <c r="P7" i="30"/>
  <c r="AJ3" i="33"/>
  <c r="AO3" i="35"/>
  <c r="W2" i="31"/>
  <c r="AC10" i="29"/>
  <c r="K3" i="39"/>
  <c r="M3" i="44"/>
  <c r="BB3" i="45"/>
  <c r="Z2" i="33"/>
  <c r="L2" i="31"/>
  <c r="AL10" i="30"/>
  <c r="J2" i="31"/>
  <c r="L10" i="30"/>
  <c r="BB3" i="34"/>
  <c r="AS8" i="30"/>
  <c r="D10" i="31"/>
  <c r="AV9" i="29"/>
  <c r="Y2" i="29"/>
  <c r="AL8" i="29"/>
  <c r="AT5" i="28"/>
  <c r="AO6" i="29"/>
  <c r="BA2" i="40"/>
  <c r="J2" i="37"/>
  <c r="U10" i="30"/>
  <c r="AN2" i="31"/>
  <c r="W8" i="29"/>
  <c r="H3" i="29"/>
  <c r="AH8" i="28"/>
  <c r="O2" i="40"/>
  <c r="L3" i="38"/>
  <c r="AL3" i="37"/>
  <c r="BH2" i="37"/>
  <c r="AY2" i="39"/>
  <c r="J2" i="42"/>
  <c r="R2" i="39"/>
  <c r="AY3" i="38"/>
  <c r="AH2" i="38"/>
  <c r="L2" i="41"/>
  <c r="BB2" i="38"/>
  <c r="AJ2" i="38"/>
  <c r="AY2" i="46"/>
  <c r="AV2" i="40"/>
  <c r="AG3" i="37"/>
  <c r="O3" i="37"/>
  <c r="AD3" i="45"/>
  <c r="F3" i="46"/>
  <c r="AE3" i="41"/>
  <c r="AP2" i="36"/>
  <c r="AZ3" i="35"/>
  <c r="AE3" i="44"/>
  <c r="AP2" i="40"/>
  <c r="BB3" i="38"/>
  <c r="AY3" i="42"/>
  <c r="Z3" i="37"/>
  <c r="S3" i="36"/>
  <c r="AY3" i="45"/>
  <c r="AL2" i="41"/>
  <c r="K2" i="36"/>
  <c r="AB3" i="35"/>
  <c r="U2" i="38"/>
  <c r="U2" i="44"/>
  <c r="L2" i="44"/>
  <c r="AQ2" i="42"/>
  <c r="AO2" i="32"/>
  <c r="AA3" i="34"/>
  <c r="Z8" i="30"/>
  <c r="O2" i="32"/>
  <c r="S10" i="29"/>
  <c r="AQ9" i="31"/>
  <c r="AR9" i="29"/>
  <c r="E8" i="31"/>
  <c r="AN2" i="34"/>
  <c r="AX2" i="42"/>
  <c r="AO3" i="45"/>
  <c r="BF2" i="38"/>
  <c r="AS3" i="33"/>
  <c r="H4" i="31"/>
  <c r="AY2" i="31"/>
  <c r="BF2" i="31"/>
  <c r="I2" i="31"/>
  <c r="AI2" i="35"/>
  <c r="BA9" i="30"/>
  <c r="Z2" i="32"/>
  <c r="AD10" i="29"/>
  <c r="BE2" i="29"/>
  <c r="T9" i="29"/>
  <c r="AC6" i="28"/>
  <c r="W7" i="29"/>
  <c r="BE2" i="46"/>
  <c r="AM3" i="41"/>
  <c r="AU2" i="43"/>
  <c r="AF2" i="32"/>
  <c r="F9" i="30"/>
  <c r="AF8" i="30"/>
  <c r="AM9" i="30"/>
  <c r="AT8" i="30"/>
  <c r="N3" i="34"/>
  <c r="AO2" i="37"/>
  <c r="AC7" i="31"/>
  <c r="AE6" i="30"/>
  <c r="AD9" i="28"/>
  <c r="AV7" i="29"/>
  <c r="E5" i="28"/>
  <c r="AY5" i="29"/>
  <c r="AT3" i="40"/>
  <c r="L2" i="38"/>
  <c r="AS2" i="39"/>
  <c r="U2" i="31"/>
  <c r="AC4" i="30"/>
  <c r="F3" i="30"/>
  <c r="BA3" i="36"/>
  <c r="X7" i="30"/>
  <c r="AX3" i="33"/>
  <c r="AW3" i="35"/>
  <c r="AE2" i="31"/>
  <c r="AS10" i="29"/>
  <c r="AD7" i="28"/>
  <c r="Z6" i="29"/>
  <c r="I2" i="28"/>
  <c r="AC4" i="29"/>
  <c r="AU3" i="44"/>
  <c r="M2" i="44"/>
  <c r="U2" i="36"/>
  <c r="J8" i="30"/>
  <c r="BA9" i="29"/>
  <c r="R3" i="37"/>
  <c r="AR2" i="35"/>
  <c r="AH4" i="30"/>
  <c r="M2" i="33"/>
  <c r="AH2" i="35"/>
  <c r="J10" i="30"/>
  <c r="AU8" i="29"/>
  <c r="M2" i="45"/>
  <c r="AZ2" i="40"/>
  <c r="AA2" i="42"/>
  <c r="AC9" i="31"/>
  <c r="I8" i="30"/>
  <c r="AH7" i="30"/>
  <c r="AE8" i="30"/>
  <c r="V8" i="30"/>
  <c r="AU2" i="34"/>
  <c r="F3" i="36"/>
  <c r="AM4" i="31"/>
  <c r="AE4" i="30"/>
  <c r="AB8" i="28"/>
  <c r="X7" i="29"/>
  <c r="BE2" i="28"/>
  <c r="AA5" i="29"/>
  <c r="J2" i="43"/>
  <c r="Q2" i="33"/>
  <c r="D2" i="35"/>
  <c r="U8" i="30"/>
  <c r="AM4" i="29"/>
  <c r="BA7" i="28"/>
  <c r="AJ6" i="28"/>
  <c r="BF2" i="32"/>
  <c r="K7" i="28"/>
  <c r="BA2" i="32"/>
  <c r="AM3" i="29"/>
  <c r="L8" i="29"/>
  <c r="T5" i="28"/>
  <c r="S8" i="29"/>
  <c r="AA5" i="28"/>
  <c r="AZ3" i="29"/>
  <c r="AK2" i="40"/>
  <c r="AB3" i="36"/>
  <c r="W8" i="30"/>
  <c r="AF2" i="31"/>
  <c r="O8" i="29"/>
  <c r="AF2" i="29"/>
  <c r="AZ7" i="28"/>
  <c r="T2" i="30"/>
  <c r="AQ7" i="28"/>
  <c r="AH2" i="30"/>
  <c r="AX7" i="28"/>
  <c r="V6" i="29"/>
  <c r="E2" i="28"/>
  <c r="M6" i="29"/>
  <c r="AU10" i="27"/>
  <c r="R3" i="29"/>
  <c r="AB2" i="40"/>
  <c r="E3" i="32"/>
  <c r="X2" i="34"/>
  <c r="AF2" i="36"/>
  <c r="W4" i="29"/>
  <c r="BA6" i="28"/>
  <c r="T6" i="28"/>
  <c r="J9" i="29"/>
  <c r="S6" i="28"/>
  <c r="Q9" i="29"/>
  <c r="Z6" i="28"/>
  <c r="AX4" i="29"/>
  <c r="AH9" i="27"/>
  <c r="AO4" i="29"/>
  <c r="AE7" i="30"/>
  <c r="P3" i="40"/>
  <c r="D7" i="31"/>
  <c r="E2" i="30"/>
  <c r="BC2" i="31"/>
  <c r="BA7" i="30"/>
  <c r="AO10" i="29"/>
  <c r="AS9" i="27"/>
  <c r="J5" i="29"/>
  <c r="AR9" i="27"/>
  <c r="Q5" i="29"/>
  <c r="BB3" i="30"/>
  <c r="W8" i="28"/>
  <c r="E3" i="30"/>
  <c r="N8" i="28"/>
  <c r="H8" i="29"/>
  <c r="AW3" i="42"/>
  <c r="H7" i="31"/>
  <c r="AE2" i="30"/>
  <c r="AY2" i="35"/>
  <c r="AL7" i="30"/>
  <c r="AB9" i="29"/>
  <c r="AE7" i="29"/>
  <c r="W8" i="27"/>
  <c r="AL3" i="29"/>
  <c r="V8" i="27"/>
  <c r="AS3" i="29"/>
  <c r="AP9" i="29"/>
  <c r="AW6" i="28"/>
  <c r="AE9" i="29"/>
  <c r="AN6" i="28"/>
  <c r="AJ6" i="29"/>
  <c r="AJ2" i="43"/>
  <c r="F3" i="32"/>
  <c r="E3" i="33"/>
  <c r="AR3" i="32"/>
  <c r="D8" i="30"/>
  <c r="AR5" i="29"/>
  <c r="AU3" i="29"/>
  <c r="AS7" i="30"/>
  <c r="F2" i="29"/>
  <c r="AH6" i="27"/>
  <c r="M2" i="29"/>
  <c r="AZ7" i="29"/>
  <c r="J5" i="28"/>
  <c r="AQ7" i="29"/>
  <c r="AC4" i="28"/>
  <c r="AV4" i="29"/>
  <c r="D2" i="34"/>
  <c r="R6" i="29"/>
  <c r="AX6" i="27"/>
  <c r="AA5" i="30"/>
  <c r="AX3" i="29"/>
  <c r="BA7" i="27"/>
  <c r="D10" i="25"/>
  <c r="X2" i="27"/>
  <c r="AL5" i="25"/>
  <c r="O2" i="27"/>
  <c r="AC5" i="25"/>
  <c r="AT3" i="27"/>
  <c r="P7" i="25"/>
  <c r="K6" i="27"/>
  <c r="AS8" i="25"/>
  <c r="G8" i="26"/>
  <c r="J2" i="33"/>
  <c r="AZ5" i="29"/>
  <c r="AP6" i="27"/>
  <c r="AD2" i="30"/>
  <c r="AP3" i="29"/>
  <c r="AK7" i="27"/>
  <c r="AU9" i="25"/>
  <c r="P2" i="27"/>
  <c r="AD5" i="25"/>
  <c r="G2" i="27"/>
  <c r="U5" i="25"/>
  <c r="AL3" i="27"/>
  <c r="H7" i="25"/>
  <c r="BA5" i="27"/>
  <c r="AK8" i="25"/>
  <c r="AR7" i="26"/>
  <c r="H10" i="30"/>
  <c r="AN3" i="29"/>
  <c r="AS4" i="30"/>
  <c r="N2" i="30"/>
  <c r="Z3" i="29"/>
  <c r="U7" i="27"/>
  <c r="AM9" i="25"/>
  <c r="H2" i="27"/>
  <c r="AX9" i="30"/>
  <c r="AD9" i="27"/>
  <c r="T9" i="30"/>
  <c r="AF2" i="28"/>
  <c r="AV6" i="29"/>
  <c r="AE2" i="28"/>
  <c r="D7" i="29"/>
  <c r="AL2" i="28"/>
  <c r="AR2" i="29"/>
  <c r="AR2" i="40"/>
  <c r="T3" i="32"/>
  <c r="AM3" i="34"/>
  <c r="AV2" i="36"/>
  <c r="AE4" i="29"/>
  <c r="T7" i="28"/>
  <c r="AB6" i="28"/>
  <c r="R9" i="29"/>
  <c r="AA6" i="28"/>
  <c r="Y9" i="29"/>
  <c r="AH6" i="28"/>
  <c r="H5" i="29"/>
  <c r="AP9" i="27"/>
  <c r="AW4" i="29"/>
  <c r="AG9" i="27"/>
  <c r="J2" i="29"/>
  <c r="V3" i="39"/>
  <c r="K7" i="30"/>
  <c r="AM8" i="31"/>
  <c r="D3" i="34"/>
  <c r="T8" i="28"/>
  <c r="AW2" i="28"/>
  <c r="D5" i="28"/>
  <c r="AT7" i="29"/>
  <c r="BB4" i="28"/>
  <c r="BA7" i="29"/>
  <c r="K5" i="28"/>
  <c r="AJ3" i="29"/>
  <c r="T8" i="27"/>
  <c r="AA3" i="29"/>
  <c r="BF2" i="44"/>
  <c r="AR7" i="31"/>
  <c r="AJ5" i="30"/>
  <c r="BG2" i="35"/>
  <c r="AT7" i="30"/>
  <c r="AK9" i="29"/>
  <c r="AM7" i="29"/>
  <c r="AE8" i="27"/>
  <c r="AT3" i="29"/>
  <c r="AD8" i="27"/>
  <c r="BA3" i="29"/>
  <c r="BB9" i="29"/>
  <c r="F7" i="28"/>
  <c r="AO9" i="29"/>
  <c r="AV6" i="28"/>
  <c r="AR6" i="29"/>
  <c r="J3" i="39"/>
  <c r="L2" i="34"/>
  <c r="AN3" i="34"/>
  <c r="P3" i="33"/>
  <c r="AT10" i="29"/>
  <c r="AX6" i="29"/>
  <c r="BA4" i="29"/>
  <c r="I7" i="27"/>
  <c r="AD2" i="29"/>
  <c r="H7" i="27"/>
  <c r="AK2" i="29"/>
  <c r="Z8" i="29"/>
  <c r="AH5" i="28"/>
  <c r="Q8" i="29"/>
  <c r="Y5" i="28"/>
  <c r="V5" i="29"/>
  <c r="AI2" i="43"/>
  <c r="AJ7" i="30"/>
  <c r="AC10" i="30"/>
  <c r="AH5" i="31"/>
  <c r="AE8" i="29"/>
  <c r="P3" i="29"/>
  <c r="H9" i="28"/>
  <c r="AZ2" i="30"/>
  <c r="I8" i="28"/>
  <c r="J3" i="30"/>
  <c r="P8" i="28"/>
  <c r="AL6" i="29"/>
  <c r="U2" i="28"/>
  <c r="AC6" i="29"/>
  <c r="L2" i="28"/>
  <c r="AH3" i="29"/>
  <c r="X2" i="30"/>
  <c r="AZ10" i="27"/>
  <c r="AC7" i="29"/>
  <c r="AY7" i="29"/>
  <c r="W9" i="28"/>
  <c r="F6" i="27"/>
  <c r="AO8" i="25"/>
  <c r="AH8" i="26"/>
  <c r="X4" i="25"/>
  <c r="U8" i="26"/>
  <c r="O4" i="25"/>
  <c r="AL2" i="27"/>
  <c r="AZ5" i="25"/>
  <c r="AC4" i="27"/>
  <c r="AE7" i="25"/>
  <c r="AF5" i="26"/>
  <c r="P2" i="30"/>
  <c r="AJ10" i="27"/>
  <c r="U7" i="29"/>
  <c r="AI7" i="29"/>
  <c r="BA8" i="28"/>
  <c r="AW5" i="27"/>
  <c r="AG8" i="25"/>
  <c r="V8" i="26"/>
  <c r="P4" i="25"/>
  <c r="AU7" i="26"/>
  <c r="F4" i="25"/>
  <c r="AD2" i="27"/>
  <c r="AR5" i="25"/>
  <c r="BA3" i="27"/>
  <c r="W7" i="25"/>
  <c r="R5" i="26"/>
  <c r="Z2" i="34"/>
  <c r="Y7" i="30"/>
  <c r="O6" i="29"/>
  <c r="K2" i="30"/>
  <c r="D8" i="29"/>
  <c r="AD3" i="32"/>
  <c r="S10" i="27"/>
  <c r="AH5" i="29"/>
  <c r="R10" i="27"/>
  <c r="AO5" i="29"/>
  <c r="E6" i="30"/>
  <c r="Y9" i="28"/>
  <c r="AS2" i="42"/>
  <c r="AQ7" i="30"/>
  <c r="AM9" i="31"/>
  <c r="BA3" i="34"/>
  <c r="AZ8" i="28"/>
  <c r="I3" i="28"/>
  <c r="M5" i="28"/>
  <c r="BB7" i="29"/>
  <c r="L5" i="28"/>
  <c r="K8" i="29"/>
  <c r="S5" i="28"/>
  <c r="AR3" i="29"/>
  <c r="AB8" i="27"/>
  <c r="AI3" i="29"/>
  <c r="BH2" i="30"/>
  <c r="M8" i="28"/>
  <c r="AR2" i="42"/>
  <c r="AT2" i="35"/>
  <c r="E8" i="30"/>
  <c r="L2" i="33"/>
  <c r="AM5" i="28"/>
  <c r="V9" i="27"/>
  <c r="P2" i="28"/>
  <c r="AF6" i="29"/>
  <c r="O2" i="28"/>
  <c r="AM6" i="29"/>
  <c r="V2" i="28"/>
  <c r="AB2" i="29"/>
  <c r="E7" i="27"/>
  <c r="S2" i="29"/>
  <c r="AV3" i="42"/>
  <c r="BH2" i="34"/>
  <c r="AV3" i="34"/>
  <c r="W2" i="34"/>
  <c r="BB10" i="29"/>
  <c r="H7" i="29"/>
  <c r="K5" i="29"/>
  <c r="Q7" i="27"/>
  <c r="AL2" i="29"/>
  <c r="P7" i="27"/>
  <c r="AS2" i="29"/>
  <c r="AH8" i="29"/>
  <c r="AP5" i="28"/>
  <c r="Y8" i="29"/>
  <c r="AG5" i="28"/>
  <c r="AD5" i="29"/>
  <c r="V2" i="38"/>
  <c r="AN10" i="30"/>
  <c r="BB5" i="31"/>
  <c r="AN10" i="31"/>
  <c r="AW9" i="29"/>
  <c r="V4" i="29"/>
  <c r="AE2" i="29"/>
  <c r="AW4" i="30"/>
  <c r="AG8" i="28"/>
  <c r="AE5" i="30"/>
  <c r="E9" i="28"/>
  <c r="L7" i="29"/>
  <c r="AS2" i="28"/>
  <c r="BA6" i="29"/>
  <c r="AJ2" i="28"/>
  <c r="H4" i="29"/>
  <c r="R2" i="43"/>
  <c r="K2" i="34"/>
  <c r="T2" i="35"/>
  <c r="AC8" i="30"/>
  <c r="AK5" i="29"/>
  <c r="K8" i="28"/>
  <c r="AR6" i="28"/>
  <c r="AH9" i="29"/>
  <c r="AQ6" i="28"/>
  <c r="AQ9" i="29"/>
  <c r="AX6" i="28"/>
  <c r="X5" i="29"/>
  <c r="H10" i="27"/>
  <c r="O5" i="29"/>
  <c r="AW9" i="27"/>
  <c r="Z2" i="29"/>
  <c r="I2" i="34"/>
  <c r="U4" i="29"/>
  <c r="AC2" i="29"/>
  <c r="Q4" i="29"/>
  <c r="O6" i="28"/>
  <c r="F4" i="27"/>
  <c r="AA7" i="25"/>
  <c r="E6" i="26"/>
  <c r="AL2" i="25"/>
  <c r="AI5" i="26"/>
  <c r="AC2" i="25"/>
  <c r="R9" i="26"/>
  <c r="AL4" i="25"/>
  <c r="BA2" i="27"/>
  <c r="Q6" i="25"/>
  <c r="AT2" i="26"/>
  <c r="R3" i="33"/>
  <c r="D4" i="29"/>
  <c r="U2" i="29"/>
  <c r="I4" i="29"/>
  <c r="E6" i="28"/>
  <c r="AM8" i="29"/>
  <c r="BC2" i="29"/>
  <c r="AB2" i="33"/>
  <c r="D9" i="27"/>
  <c r="T4" i="29"/>
  <c r="BB8" i="27"/>
  <c r="AA4" i="29"/>
  <c r="AZ10" i="29"/>
  <c r="AG7" i="28"/>
  <c r="AZ2" i="42"/>
  <c r="AA2" i="36"/>
  <c r="N8" i="30"/>
  <c r="T2" i="33"/>
  <c r="D6" i="28"/>
  <c r="AL9" i="27"/>
  <c r="X2" i="28"/>
  <c r="AN6" i="29"/>
  <c r="W2" i="28"/>
  <c r="AU6" i="29"/>
  <c r="AD2" i="28"/>
  <c r="AJ2" i="29"/>
  <c r="AG3" i="29"/>
  <c r="AB2" i="43"/>
  <c r="AC7" i="30"/>
  <c r="AO7" i="27"/>
  <c r="E3" i="29"/>
  <c r="AN7" i="27"/>
  <c r="M3" i="29"/>
  <c r="H9" i="29"/>
  <c r="Q6" i="28"/>
  <c r="K2" i="42"/>
  <c r="AT2" i="32"/>
  <c r="D3" i="30"/>
  <c r="BA3" i="31"/>
  <c r="BA10" i="27"/>
  <c r="AL2" i="30"/>
  <c r="K10" i="27"/>
  <c r="Z5" i="29"/>
  <c r="J10" i="27"/>
  <c r="AG5" i="29"/>
  <c r="AD5" i="30"/>
  <c r="D9" i="28"/>
  <c r="AK4" i="30"/>
  <c r="AD8" i="28"/>
  <c r="X8" i="29"/>
  <c r="AF5" i="28"/>
  <c r="I2" i="32"/>
  <c r="BB5" i="30"/>
  <c r="AX3" i="35"/>
  <c r="BB7" i="30"/>
  <c r="AU9" i="29"/>
  <c r="AU7" i="29"/>
  <c r="AM8" i="27"/>
  <c r="BB3" i="29"/>
  <c r="AL8" i="27"/>
  <c r="K4" i="29"/>
  <c r="T10" i="29"/>
  <c r="O7" i="28"/>
  <c r="AY9" i="29"/>
  <c r="E7" i="28"/>
  <c r="AC3" i="36"/>
  <c r="AM2" i="35"/>
  <c r="AO7" i="30"/>
  <c r="AA10" i="30"/>
  <c r="I7" i="29"/>
  <c r="H2" i="29"/>
  <c r="AB7" i="28"/>
  <c r="AM10" i="29"/>
  <c r="AA7" i="28"/>
  <c r="BA10" i="29"/>
  <c r="AH7" i="28"/>
  <c r="E6" i="29"/>
  <c r="AN10" i="27"/>
  <c r="AU5" i="29"/>
  <c r="AE10" i="27"/>
  <c r="BF2" i="29"/>
  <c r="AF3" i="46"/>
  <c r="E6" i="31"/>
  <c r="AY3" i="33"/>
  <c r="Y3" i="35"/>
  <c r="Q3" i="29"/>
  <c r="AK6" i="28"/>
  <c r="BA5" i="28"/>
  <c r="AR8" i="29"/>
  <c r="AZ5" i="28"/>
  <c r="AY8" i="29"/>
  <c r="I6" i="28"/>
  <c r="AH4" i="29"/>
  <c r="R9" i="27"/>
  <c r="Y4" i="29"/>
  <c r="AG6" i="30"/>
  <c r="AE9" i="28"/>
  <c r="T2" i="46"/>
  <c r="AB2" i="37"/>
  <c r="AL9" i="30"/>
  <c r="AA3" i="33"/>
  <c r="AT6" i="28"/>
  <c r="AB10" i="27"/>
  <c r="AN2" i="28"/>
  <c r="E7" i="29"/>
  <c r="AM2" i="28"/>
  <c r="M7" i="29"/>
  <c r="AT2" i="28"/>
  <c r="AZ2" i="29"/>
  <c r="AD7" i="27"/>
  <c r="AQ2" i="29"/>
  <c r="O10" i="29"/>
  <c r="M7" i="28"/>
  <c r="BA2" i="33"/>
  <c r="AY6" i="27"/>
  <c r="R8" i="29"/>
  <c r="I5" i="28"/>
  <c r="AT10" i="27"/>
  <c r="AS9" i="26"/>
  <c r="D10" i="27"/>
  <c r="AR10" i="25"/>
  <c r="W9" i="27"/>
  <c r="AI10" i="25"/>
  <c r="AZ8" i="24"/>
  <c r="AH3" i="26"/>
  <c r="AM10" i="24"/>
  <c r="U7" i="26"/>
  <c r="AI6" i="27"/>
  <c r="R9" i="25"/>
  <c r="AS2" i="33"/>
  <c r="AQ6" i="27"/>
  <c r="J8" i="29"/>
  <c r="AG3" i="28"/>
  <c r="AL10" i="27"/>
  <c r="AE9" i="26"/>
  <c r="Y9" i="27"/>
  <c r="AJ10" i="25"/>
  <c r="AY8" i="27"/>
  <c r="AA10" i="25"/>
  <c r="AR8" i="24"/>
  <c r="G3" i="26"/>
  <c r="AE10" i="24"/>
  <c r="BC6" i="26"/>
  <c r="Z6" i="27"/>
  <c r="J9" i="25"/>
  <c r="AD7" i="31"/>
  <c r="F4" i="30"/>
  <c r="BB6" i="29"/>
  <c r="AB2" i="28"/>
  <c r="AD10" i="27"/>
  <c r="BC8" i="26"/>
  <c r="BA8" i="27"/>
  <c r="AB10" i="25"/>
  <c r="AU5" i="28"/>
  <c r="AV2" i="43"/>
  <c r="AL6" i="28"/>
  <c r="W7" i="30"/>
  <c r="O10" i="28"/>
  <c r="AM7" i="30"/>
  <c r="E2" i="29"/>
  <c r="AR7" i="29"/>
  <c r="AD4" i="28"/>
  <c r="AJ3" i="34"/>
  <c r="R7" i="30"/>
  <c r="G2" i="36"/>
  <c r="AZ8" i="30"/>
  <c r="AB10" i="29"/>
  <c r="M8" i="29"/>
  <c r="AU8" i="27"/>
  <c r="L4" i="29"/>
  <c r="AT8" i="27"/>
  <c r="S4" i="29"/>
  <c r="AJ10" i="29"/>
  <c r="Y7" i="28"/>
  <c r="Q10" i="29"/>
  <c r="N7" i="28"/>
  <c r="J7" i="29"/>
  <c r="E2" i="43"/>
  <c r="W3" i="35"/>
  <c r="AC2" i="35"/>
  <c r="AE2" i="34"/>
  <c r="AY2" i="30"/>
  <c r="P7" i="29"/>
  <c r="S5" i="29"/>
  <c r="Y7" i="27"/>
  <c r="AT2" i="29"/>
  <c r="X7" i="27"/>
  <c r="BA2" i="29"/>
  <c r="AP8" i="29"/>
  <c r="AX5" i="28"/>
  <c r="AG8" i="29"/>
  <c r="AO5" i="28"/>
  <c r="AF2" i="39"/>
  <c r="AR8" i="31"/>
  <c r="P2" i="34"/>
  <c r="V2" i="36"/>
  <c r="Y3" i="29"/>
  <c r="AS6" i="28"/>
  <c r="K6" i="28"/>
  <c r="AZ8" i="29"/>
  <c r="J6" i="28"/>
  <c r="I9" i="29"/>
  <c r="R6" i="28"/>
  <c r="AP4" i="29"/>
  <c r="Z9" i="27"/>
  <c r="AG4" i="29"/>
  <c r="O7" i="30"/>
  <c r="D10" i="28"/>
  <c r="J3" i="38"/>
  <c r="BD2" i="30"/>
  <c r="AG2" i="31"/>
  <c r="AT2" i="34"/>
  <c r="BB7" i="28"/>
  <c r="AG2" i="28"/>
  <c r="H3" i="28"/>
  <c r="AD7" i="29"/>
  <c r="F3" i="28"/>
  <c r="AK7" i="29"/>
  <c r="BA3" i="28"/>
  <c r="T3" i="29"/>
  <c r="BB7" i="27"/>
  <c r="K3" i="29"/>
  <c r="L2" i="30"/>
  <c r="AM7" i="28"/>
  <c r="AX3" i="44"/>
  <c r="AE3" i="33"/>
  <c r="AD3" i="30"/>
  <c r="BA8" i="31"/>
  <c r="AP2" i="28"/>
  <c r="AI5" i="30"/>
  <c r="AA10" i="27"/>
  <c r="AP5" i="29"/>
  <c r="Z10" i="27"/>
  <c r="AW5" i="29"/>
  <c r="BB6" i="30"/>
  <c r="AG9" i="28"/>
  <c r="BA5" i="30"/>
  <c r="X9" i="28"/>
  <c r="AN8" i="29"/>
  <c r="AV5" i="28"/>
  <c r="AW3" i="33"/>
  <c r="V7" i="29"/>
  <c r="L3" i="29"/>
  <c r="AW5" i="30"/>
  <c r="AF9" i="27"/>
  <c r="I7" i="26"/>
  <c r="BA6" i="27"/>
  <c r="AD9" i="25"/>
  <c r="AL6" i="27"/>
  <c r="U9" i="25"/>
  <c r="AL7" i="24"/>
  <c r="H2" i="26"/>
  <c r="Y9" i="24"/>
  <c r="AE4" i="26"/>
  <c r="T5" i="27"/>
  <c r="BB7" i="25"/>
  <c r="AI3" i="33"/>
  <c r="N7" i="29"/>
  <c r="BH2" i="29"/>
  <c r="U5" i="30"/>
  <c r="X9" i="27"/>
  <c r="AO6" i="26"/>
  <c r="AM6" i="27"/>
  <c r="V9" i="25"/>
  <c r="AC6" i="27"/>
  <c r="M9" i="25"/>
  <c r="AC10" i="27"/>
  <c r="AX10" i="25"/>
  <c r="Q9" i="24"/>
  <c r="BC3" i="26"/>
  <c r="L5" i="27"/>
  <c r="AT7" i="25"/>
  <c r="AH2" i="32"/>
  <c r="H6" i="29"/>
  <c r="AT4" i="29"/>
  <c r="AN2" i="36"/>
  <c r="T10" i="27"/>
  <c r="Z9" i="29"/>
  <c r="AI6" i="28"/>
  <c r="AG9" i="29"/>
  <c r="AP6" i="28"/>
  <c r="P5" i="29"/>
  <c r="H2" i="42"/>
  <c r="AC8" i="31"/>
  <c r="AK2" i="32"/>
  <c r="N3" i="32"/>
  <c r="R3" i="30"/>
  <c r="BB4" i="29"/>
  <c r="F3" i="29"/>
  <c r="F7" i="30"/>
  <c r="AY9" i="28"/>
  <c r="U7" i="30"/>
  <c r="H10" i="28"/>
  <c r="AJ7" i="29"/>
  <c r="AH3" i="28"/>
  <c r="AA7" i="29"/>
  <c r="BH2" i="28"/>
  <c r="AF4" i="29"/>
  <c r="AO2" i="39"/>
  <c r="N3" i="35"/>
  <c r="F8" i="30"/>
  <c r="X2" i="31"/>
  <c r="Q7" i="29"/>
  <c r="P2" i="29"/>
  <c r="AJ7" i="28"/>
  <c r="D2" i="30"/>
  <c r="AI7" i="28"/>
  <c r="R2" i="30"/>
  <c r="AP7" i="28"/>
  <c r="N6" i="29"/>
  <c r="AV10" i="27"/>
  <c r="D6" i="29"/>
  <c r="AM10" i="27"/>
  <c r="U3" i="39"/>
  <c r="N2" i="35"/>
  <c r="AV7" i="30"/>
  <c r="AX2" i="32"/>
  <c r="AE5" i="28"/>
  <c r="N9" i="27"/>
  <c r="H2" i="28"/>
  <c r="X6" i="29"/>
  <c r="G2" i="28"/>
  <c r="AE6" i="29"/>
  <c r="N2" i="28"/>
  <c r="T2" i="29"/>
  <c r="AV6" i="27"/>
  <c r="K2" i="29"/>
  <c r="V9" i="29"/>
  <c r="AE6" i="28"/>
  <c r="Y2" i="38"/>
  <c r="AG3" i="31"/>
  <c r="AV10" i="29"/>
  <c r="G2" i="31"/>
  <c r="AB7" i="30"/>
  <c r="Y10" i="29"/>
  <c r="AK9" i="27"/>
  <c r="AZ4" i="29"/>
  <c r="AJ9" i="27"/>
  <c r="I5" i="29"/>
  <c r="I3" i="30"/>
  <c r="O8" i="28"/>
  <c r="AT2" i="30"/>
  <c r="E8" i="28"/>
  <c r="AX7" i="29"/>
  <c r="L2" i="39"/>
  <c r="AQ8" i="30"/>
  <c r="D2" i="37"/>
  <c r="AL3" i="34"/>
  <c r="AF5" i="30"/>
  <c r="V8" i="29"/>
  <c r="Y6" i="29"/>
  <c r="AW7" i="27"/>
  <c r="N3" i="29"/>
  <c r="AV7" i="27"/>
  <c r="U3" i="29"/>
  <c r="P9" i="29"/>
  <c r="Y6" i="28"/>
  <c r="F9" i="29"/>
  <c r="P6" i="28"/>
  <c r="L6" i="29"/>
  <c r="AR2" i="46"/>
  <c r="U7" i="28"/>
  <c r="BC2" i="28"/>
  <c r="J9" i="27"/>
  <c r="AB6" i="29"/>
  <c r="BB6" i="27"/>
  <c r="S2" i="26"/>
  <c r="AF3" i="27"/>
  <c r="AZ6" i="25"/>
  <c r="W3" i="27"/>
  <c r="AQ6" i="25"/>
  <c r="AT5" i="27"/>
  <c r="AD8" i="25"/>
  <c r="K8" i="27"/>
  <c r="I10" i="25"/>
  <c r="L2" i="27"/>
  <c r="AJ2" i="46"/>
  <c r="BB6" i="28"/>
  <c r="AU2" i="28"/>
  <c r="AZ8" i="27"/>
  <c r="T6" i="29"/>
  <c r="AT6" i="27"/>
  <c r="K2" i="26"/>
  <c r="X3" i="27"/>
  <c r="AR6" i="25"/>
  <c r="O3" i="27"/>
  <c r="AI6" i="25"/>
  <c r="AL5" i="27"/>
  <c r="V8" i="25"/>
  <c r="AS7" i="27"/>
  <c r="AY9" i="25"/>
  <c r="D2" i="27"/>
  <c r="I3" i="38"/>
  <c r="AC3" i="28"/>
  <c r="AP10" i="27"/>
  <c r="AJ8" i="27"/>
  <c r="BB5" i="29"/>
  <c r="AW10" i="27"/>
  <c r="BA10" i="25"/>
  <c r="P3" i="27"/>
  <c r="AJ6" i="25"/>
  <c r="L10" i="29"/>
  <c r="BA2" i="43"/>
  <c r="BB2" i="29"/>
  <c r="AW5" i="28"/>
  <c r="U2" i="32"/>
  <c r="AU2" i="29"/>
  <c r="AH9" i="28"/>
  <c r="AZ2" i="28"/>
  <c r="BB2" i="34"/>
  <c r="AL7" i="29"/>
  <c r="AB3" i="29"/>
  <c r="AU7" i="28"/>
  <c r="AP2" i="32"/>
  <c r="P6" i="29"/>
  <c r="L2" i="29"/>
  <c r="W6" i="28"/>
  <c r="AH9" i="30"/>
  <c r="AB4" i="29"/>
  <c r="AO7" i="28"/>
  <c r="AU2" i="38"/>
  <c r="E9" i="29"/>
  <c r="P8" i="25"/>
  <c r="AR9" i="25"/>
  <c r="AX3" i="37"/>
  <c r="AV8" i="29"/>
  <c r="X5" i="27"/>
  <c r="AO2" i="26"/>
  <c r="AD4" i="25"/>
  <c r="L3" i="27"/>
  <c r="AQ10" i="27"/>
  <c r="AN7" i="28"/>
  <c r="AO5" i="27"/>
  <c r="AD6" i="27"/>
  <c r="H4" i="25"/>
  <c r="AI7" i="26"/>
  <c r="AQ3" i="25"/>
  <c r="V2" i="27"/>
  <c r="AJ5" i="25"/>
  <c r="AS3" i="27"/>
  <c r="O7" i="25"/>
  <c r="BB4" i="26"/>
  <c r="AQ3" i="33"/>
  <c r="U6" i="30"/>
  <c r="F6" i="29"/>
  <c r="AK6" i="29"/>
  <c r="D8" i="28"/>
  <c r="AG5" i="27"/>
  <c r="Q8" i="25"/>
  <c r="AL7" i="26"/>
  <c r="AR3" i="25"/>
  <c r="W7" i="26"/>
  <c r="AA3" i="25"/>
  <c r="N2" i="27"/>
  <c r="AB5" i="25"/>
  <c r="AK3" i="27"/>
  <c r="F7" i="25"/>
  <c r="AD4" i="26"/>
  <c r="BG2" i="31"/>
  <c r="AA9" i="29"/>
  <c r="AY4" i="29"/>
  <c r="U6" i="29"/>
  <c r="AE7" i="28"/>
  <c r="Y5" i="27"/>
  <c r="I8" i="25"/>
  <c r="AB7" i="26"/>
  <c r="AB3" i="25"/>
  <c r="F7" i="26"/>
  <c r="D3" i="25"/>
  <c r="F2" i="27"/>
  <c r="T5" i="25"/>
  <c r="AC3" i="27"/>
  <c r="AW6" i="25"/>
  <c r="BB3" i="26"/>
  <c r="AP10" i="29"/>
  <c r="AG6" i="29"/>
  <c r="AC3" i="29"/>
  <c r="F5" i="29"/>
  <c r="AM6" i="28"/>
  <c r="AY4" i="27"/>
  <c r="AI7" i="25"/>
  <c r="AF6" i="26"/>
  <c r="AT2" i="25"/>
  <c r="BC5" i="26"/>
  <c r="AK2" i="25"/>
  <c r="AN9" i="26"/>
  <c r="AT4" i="25"/>
  <c r="D3" i="27"/>
  <c r="AW7" i="28"/>
  <c r="E6" i="27"/>
  <c r="AC8" i="27"/>
  <c r="AA5" i="25"/>
  <c r="BA10" i="24"/>
  <c r="AE7" i="26"/>
  <c r="AE3" i="25"/>
  <c r="AD5" i="26"/>
  <c r="X2" i="25"/>
  <c r="W3" i="24"/>
  <c r="K5" i="25"/>
  <c r="AK8" i="23"/>
  <c r="Z6" i="22"/>
  <c r="AH9" i="23"/>
  <c r="Y7" i="22"/>
  <c r="BH2" i="24"/>
  <c r="E2" i="23"/>
  <c r="AE5" i="24"/>
  <c r="AW6" i="29"/>
  <c r="I5" i="27"/>
  <c r="AE6" i="26"/>
  <c r="M3" i="27"/>
  <c r="H6" i="25"/>
  <c r="M4" i="27"/>
  <c r="AC7" i="25"/>
  <c r="J3" i="27"/>
  <c r="AD6" i="25"/>
  <c r="F7" i="24"/>
  <c r="AZ5" i="23"/>
  <c r="N3" i="24"/>
  <c r="O2" i="23"/>
  <c r="K4" i="24"/>
  <c r="E3" i="23"/>
  <c r="AL6" i="24"/>
  <c r="AG5" i="23"/>
  <c r="AE2" i="25"/>
  <c r="AQ3" i="35"/>
  <c r="H5" i="28"/>
  <c r="AW10" i="24"/>
  <c r="AH3" i="25"/>
  <c r="AN10" i="25"/>
  <c r="BD2" i="32"/>
  <c r="AE3" i="35"/>
  <c r="AF7" i="27"/>
  <c r="AM9" i="29"/>
  <c r="M2" i="30"/>
  <c r="BA9" i="27"/>
  <c r="AN4" i="30"/>
  <c r="AD2" i="38"/>
  <c r="AP2" i="30"/>
  <c r="F9" i="28"/>
  <c r="BA2" i="28"/>
  <c r="N3" i="36"/>
  <c r="AY6" i="29"/>
  <c r="Q7" i="28"/>
  <c r="AF10" i="27"/>
  <c r="BE2" i="43"/>
  <c r="I2" i="29"/>
  <c r="AB5" i="28"/>
  <c r="AR8" i="27"/>
  <c r="Y2" i="31"/>
  <c r="BG2" i="28"/>
  <c r="Y10" i="24"/>
  <c r="AZ2" i="25"/>
  <c r="BB9" i="30"/>
  <c r="AY2" i="28"/>
  <c r="AN5" i="26"/>
  <c r="AW7" i="25"/>
  <c r="AR2" i="25"/>
  <c r="AL2" i="26"/>
  <c r="Y8" i="28"/>
  <c r="AC3" i="30"/>
  <c r="AO3" i="27"/>
  <c r="P5" i="27"/>
  <c r="V2" i="25"/>
  <c r="F5" i="26"/>
  <c r="M2" i="25"/>
  <c r="AF8" i="26"/>
  <c r="V4" i="25"/>
  <c r="AK2" i="27"/>
  <c r="AY5" i="25"/>
  <c r="AD2" i="26"/>
  <c r="AS10" i="30"/>
  <c r="AB9" i="28"/>
  <c r="X8" i="28"/>
  <c r="BG2" i="29"/>
  <c r="X5" i="28"/>
  <c r="AG3" i="27"/>
  <c r="BA6" i="25"/>
  <c r="G5" i="26"/>
  <c r="N2" i="25"/>
  <c r="AG4" i="26"/>
  <c r="E2" i="25"/>
  <c r="T8" i="26"/>
  <c r="N4" i="25"/>
  <c r="AC2" i="27"/>
  <c r="AQ5" i="25"/>
  <c r="V2" i="26"/>
  <c r="AY3" i="35"/>
  <c r="J7" i="28"/>
  <c r="P7" i="28"/>
  <c r="AY2" i="29"/>
  <c r="AJ5" i="29"/>
  <c r="Q2" i="36"/>
  <c r="D3" i="29"/>
  <c r="AT5" i="29"/>
  <c r="S2" i="32"/>
  <c r="S6" i="30"/>
  <c r="AB7" i="29"/>
  <c r="E3" i="39"/>
  <c r="L8" i="28"/>
  <c r="BB3" i="28"/>
  <c r="L8" i="27"/>
  <c r="D3" i="39"/>
  <c r="W5" i="28"/>
  <c r="AX10" i="27"/>
  <c r="AG7" i="30"/>
  <c r="I2" i="35"/>
  <c r="BE2" i="30"/>
  <c r="L9" i="27"/>
  <c r="AW10" i="29"/>
  <c r="AL10" i="29"/>
  <c r="R8" i="27"/>
  <c r="W5" i="27"/>
  <c r="K8" i="24"/>
  <c r="AN9" i="29"/>
  <c r="J8" i="27"/>
  <c r="AX2" i="26"/>
  <c r="U2" i="25"/>
  <c r="BA7" i="24"/>
  <c r="X10" i="25"/>
  <c r="AF8" i="28"/>
  <c r="AF8" i="29"/>
  <c r="AG2" i="27"/>
  <c r="BB7" i="26"/>
  <c r="I10" i="24"/>
  <c r="AG2" i="26"/>
  <c r="AX9" i="24"/>
  <c r="BB5" i="26"/>
  <c r="AJ2" i="25"/>
  <c r="I9" i="26"/>
  <c r="Y8" i="27"/>
  <c r="P10" i="25"/>
  <c r="AX5" i="30"/>
  <c r="AI10" i="27"/>
  <c r="T7" i="30"/>
  <c r="W7" i="28"/>
  <c r="AI2" i="28"/>
  <c r="Y2" i="27"/>
  <c r="AM5" i="25"/>
  <c r="AH2" i="26"/>
  <c r="AY9" i="24"/>
  <c r="Y2" i="26"/>
  <c r="AP9" i="24"/>
  <c r="AH5" i="26"/>
  <c r="AB2" i="25"/>
  <c r="AS8" i="26"/>
  <c r="I8" i="27"/>
  <c r="H10" i="25"/>
  <c r="H3" i="37"/>
  <c r="AC9" i="27"/>
  <c r="AW2" i="30"/>
  <c r="AF6" i="28"/>
  <c r="AA2" i="28"/>
  <c r="Q2" i="27"/>
  <c r="AE5" i="25"/>
  <c r="Z2" i="26"/>
  <c r="AQ9" i="24"/>
  <c r="Q2" i="26"/>
  <c r="AH9" i="24"/>
  <c r="T5" i="26"/>
  <c r="T2" i="25"/>
  <c r="AE8" i="26"/>
  <c r="AQ7" i="27"/>
  <c r="AX9" i="25"/>
  <c r="AT3" i="34"/>
  <c r="F8" i="27"/>
  <c r="X9" i="29"/>
  <c r="Q5" i="28"/>
  <c r="BB10" i="27"/>
  <c r="U10" i="26"/>
  <c r="AO10" i="27"/>
  <c r="AZ10" i="25"/>
  <c r="AY9" i="27"/>
  <c r="AQ10" i="25"/>
  <c r="J9" i="24"/>
  <c r="E4" i="26"/>
  <c r="AU10" i="24"/>
  <c r="AG7" i="26"/>
  <c r="AE10" i="29"/>
  <c r="AN8" i="25"/>
  <c r="R10" i="25"/>
  <c r="AR8" i="26"/>
  <c r="Y8" i="24"/>
  <c r="AC2" i="26"/>
  <c r="I9" i="27"/>
  <c r="AD10" i="25"/>
  <c r="AU8" i="24"/>
  <c r="AZ9" i="23"/>
  <c r="N7" i="24"/>
  <c r="I6" i="23"/>
  <c r="AF8" i="24"/>
  <c r="E7" i="23"/>
  <c r="AK4" i="22"/>
  <c r="AG9" i="23"/>
  <c r="X7" i="22"/>
  <c r="BG2" i="24"/>
  <c r="AK3" i="29"/>
  <c r="AQ7" i="25"/>
  <c r="AS2" i="25"/>
  <c r="BA8" i="25"/>
  <c r="BF2" i="25"/>
  <c r="BC9" i="26"/>
  <c r="AY4" i="25"/>
  <c r="AN7" i="26"/>
  <c r="AX3" i="25"/>
  <c r="AC4" i="24"/>
  <c r="AJ2" i="30"/>
  <c r="AM2" i="34"/>
  <c r="AX8" i="29"/>
  <c r="AU6" i="28"/>
  <c r="F3" i="31"/>
  <c r="R5" i="29"/>
  <c r="AE8" i="28"/>
  <c r="AG4" i="31"/>
  <c r="AD4" i="29"/>
  <c r="F6" i="30"/>
  <c r="K7" i="29"/>
  <c r="AE2" i="35"/>
  <c r="AC10" i="28"/>
  <c r="AK10" i="29"/>
  <c r="AM5" i="29"/>
  <c r="O10" i="30"/>
  <c r="AD5" i="28"/>
  <c r="AA8" i="29"/>
  <c r="AY3" i="29"/>
  <c r="BD2" i="28"/>
  <c r="AW2" i="27"/>
  <c r="AW2" i="26"/>
  <c r="F10" i="26"/>
  <c r="AV2" i="28"/>
  <c r="AW3" i="27"/>
  <c r="H8" i="25"/>
  <c r="H10" i="24"/>
  <c r="AS2" i="27"/>
  <c r="AT3" i="44"/>
  <c r="AK7" i="30"/>
  <c r="U8" i="28"/>
  <c r="AG6" i="26"/>
  <c r="V5" i="26"/>
  <c r="AF8" i="27"/>
  <c r="S10" i="25"/>
  <c r="AJ8" i="24"/>
  <c r="BD2" i="26"/>
  <c r="W10" i="24"/>
  <c r="AK6" i="26"/>
  <c r="R6" i="27"/>
  <c r="AZ8" i="25"/>
  <c r="AD6" i="31"/>
  <c r="L3" i="30"/>
  <c r="AT6" i="29"/>
  <c r="T2" i="28"/>
  <c r="V10" i="27"/>
  <c r="AI8" i="26"/>
  <c r="AG8" i="27"/>
  <c r="T10" i="25"/>
  <c r="P8" i="27"/>
  <c r="K10" i="25"/>
  <c r="AB8" i="24"/>
  <c r="AV2" i="26"/>
  <c r="O10" i="24"/>
  <c r="U6" i="26"/>
  <c r="J6" i="27"/>
  <c r="AR8" i="25"/>
  <c r="K10" i="30"/>
  <c r="F10" i="29"/>
  <c r="AN5" i="29"/>
  <c r="D2" i="28"/>
  <c r="N10" i="27"/>
  <c r="W8" i="26"/>
  <c r="Q8" i="27"/>
  <c r="L10" i="25"/>
  <c r="AX7" i="27"/>
  <c r="BA9" i="25"/>
  <c r="T8" i="24"/>
  <c r="AN2" i="26"/>
  <c r="F10" i="24"/>
  <c r="BA5" i="26"/>
  <c r="AZ5" i="27"/>
  <c r="AJ8" i="25"/>
  <c r="I3" i="35"/>
  <c r="AB8" i="29"/>
  <c r="R4" i="29"/>
  <c r="AO9" i="27"/>
  <c r="AN9" i="27"/>
  <c r="AC7" i="26"/>
  <c r="S7" i="27"/>
  <c r="AL9" i="25"/>
  <c r="AZ6" i="27"/>
  <c r="AC9" i="25"/>
  <c r="AT7" i="24"/>
  <c r="P2" i="26"/>
  <c r="AG9" i="24"/>
  <c r="V10" i="30"/>
  <c r="V7" i="28"/>
  <c r="E3" i="25"/>
  <c r="L5" i="25"/>
  <c r="F2" i="26"/>
  <c r="X8" i="27"/>
  <c r="O10" i="25"/>
  <c r="AF6" i="27"/>
  <c r="P9" i="25"/>
  <c r="AY7" i="28"/>
  <c r="BG2" i="30"/>
  <c r="H6" i="28"/>
  <c r="AL2" i="38"/>
  <c r="BF2" i="30"/>
  <c r="AA9" i="28"/>
  <c r="D3" i="28"/>
  <c r="BA6" i="30"/>
  <c r="AO2" i="28"/>
  <c r="AS7" i="29"/>
  <c r="S3" i="29"/>
  <c r="F2" i="35"/>
  <c r="E9" i="27"/>
  <c r="W6" i="29"/>
  <c r="BB10" i="28"/>
  <c r="V9" i="30"/>
  <c r="BA8" i="29"/>
  <c r="AI4" i="29"/>
  <c r="AF7" i="28"/>
  <c r="V2" i="29"/>
  <c r="I4" i="26"/>
  <c r="F8" i="25"/>
  <c r="W2" i="26"/>
  <c r="N2" i="29"/>
  <c r="AO2" i="27"/>
  <c r="AD2" i="25"/>
  <c r="O7" i="27"/>
  <c r="AI9" i="26"/>
  <c r="E4" i="31"/>
  <c r="D2" i="29"/>
  <c r="AN5" i="28"/>
  <c r="K3" i="26"/>
  <c r="AP2" i="26"/>
  <c r="U6" i="27"/>
  <c r="D9" i="25"/>
  <c r="AU9" i="27"/>
  <c r="AP10" i="25"/>
  <c r="I9" i="24"/>
  <c r="AG3" i="26"/>
  <c r="BB4" i="27"/>
  <c r="AL7" i="25"/>
  <c r="AG9" i="31"/>
  <c r="AX5" i="29"/>
  <c r="F10" i="28"/>
  <c r="AR2" i="30"/>
  <c r="H9" i="27"/>
  <c r="F6" i="26"/>
  <c r="V6" i="27"/>
  <c r="E9" i="25"/>
  <c r="M6" i="27"/>
  <c r="AU8" i="25"/>
  <c r="S9" i="27"/>
  <c r="AH10" i="25"/>
  <c r="AY8" i="24"/>
  <c r="F3" i="26"/>
  <c r="N4" i="27"/>
  <c r="AD7" i="25"/>
  <c r="AX10" i="30"/>
  <c r="AR4" i="29"/>
  <c r="F8" i="28"/>
  <c r="AU10" i="29"/>
  <c r="AX8" i="27"/>
  <c r="AO5" i="26"/>
  <c r="N6" i="27"/>
  <c r="AV8" i="25"/>
  <c r="D6" i="27"/>
  <c r="AM8" i="25"/>
  <c r="AW8" i="27"/>
  <c r="Z10" i="25"/>
  <c r="AQ8" i="24"/>
  <c r="BC2" i="26"/>
  <c r="AZ3" i="27"/>
  <c r="T2" i="39"/>
  <c r="AT5" i="30"/>
  <c r="V3" i="29"/>
  <c r="AG6" i="28"/>
  <c r="AD9" i="29"/>
  <c r="Z8" i="27"/>
  <c r="AI4" i="26"/>
  <c r="AN5" i="27"/>
  <c r="X8" i="25"/>
  <c r="AE5" i="27"/>
  <c r="O8" i="25"/>
  <c r="AU7" i="27"/>
  <c r="AZ9" i="25"/>
  <c r="S8" i="24"/>
  <c r="AP10" i="30"/>
  <c r="AP8" i="27"/>
  <c r="AU5" i="27"/>
  <c r="AI8" i="24"/>
  <c r="L8" i="25"/>
  <c r="Q6" i="27"/>
  <c r="AY8" i="25"/>
  <c r="R5" i="27"/>
  <c r="AZ7" i="25"/>
  <c r="S9" i="24"/>
  <c r="X7" i="23"/>
  <c r="AJ4" i="24"/>
  <c r="AE3" i="23"/>
  <c r="AG5" i="24"/>
  <c r="AB4" i="23"/>
  <c r="AD8" i="24"/>
  <c r="D7" i="23"/>
  <c r="AH4" i="22"/>
  <c r="AF9" i="23"/>
  <c r="W5" i="29"/>
  <c r="AX2" i="30"/>
  <c r="AF7" i="29"/>
  <c r="N7" i="27"/>
  <c r="X3" i="40"/>
  <c r="AK10" i="27"/>
  <c r="AZ9" i="27"/>
  <c r="AE3" i="30"/>
  <c r="AN6" i="31"/>
  <c r="AM2" i="29"/>
  <c r="Z9" i="28"/>
  <c r="AR2" i="28"/>
  <c r="H2" i="36"/>
  <c r="S7" i="28"/>
  <c r="Z7" i="28"/>
  <c r="W10" i="27"/>
  <c r="AE3" i="32"/>
  <c r="AC5" i="28"/>
  <c r="AI5" i="28"/>
  <c r="AG4" i="30"/>
  <c r="E3" i="28"/>
  <c r="M6" i="25"/>
  <c r="P10" i="24"/>
  <c r="O9" i="27"/>
  <c r="BB2" i="28"/>
  <c r="AM3" i="26"/>
  <c r="Q10" i="24"/>
  <c r="AX8" i="26"/>
  <c r="O2" i="26"/>
  <c r="T6" i="30"/>
  <c r="AK2" i="28"/>
  <c r="AQ2" i="28"/>
  <c r="Y8" i="25"/>
  <c r="N9" i="25"/>
  <c r="F5" i="27"/>
  <c r="AO7" i="25"/>
  <c r="AW6" i="27"/>
  <c r="AB9" i="25"/>
  <c r="AS7" i="24"/>
  <c r="G2" i="26"/>
  <c r="BH2" i="27"/>
  <c r="AQ2" i="43"/>
  <c r="AC9" i="29"/>
  <c r="Q8" i="28"/>
  <c r="AC2" i="28"/>
  <c r="P8" i="29"/>
  <c r="AR7" i="27"/>
  <c r="BG2" i="26"/>
  <c r="H5" i="27"/>
  <c r="AP7" i="25"/>
  <c r="AG4" i="27"/>
  <c r="AG7" i="25"/>
  <c r="AK6" i="27"/>
  <c r="T9" i="25"/>
  <c r="Y10" i="27"/>
  <c r="AW10" i="25"/>
  <c r="AZ2" i="27"/>
  <c r="AY2" i="36"/>
  <c r="BA5" i="29"/>
  <c r="I7" i="28"/>
  <c r="M2" i="28"/>
  <c r="AP7" i="29"/>
  <c r="AJ7" i="27"/>
  <c r="AY2" i="26"/>
  <c r="AH4" i="27"/>
  <c r="AH7" i="25"/>
  <c r="D4" i="27"/>
  <c r="Y7" i="25"/>
  <c r="AB6" i="27"/>
  <c r="L9" i="25"/>
  <c r="AQ9" i="27"/>
  <c r="AO10" i="25"/>
  <c r="AR2" i="27"/>
  <c r="AK2" i="46"/>
  <c r="Q2" i="29"/>
  <c r="AJ5" i="28"/>
  <c r="AX9" i="27"/>
  <c r="AZ6" i="29"/>
  <c r="L7" i="27"/>
  <c r="AA2" i="26"/>
  <c r="AN3" i="27"/>
  <c r="J7" i="25"/>
  <c r="AE3" i="27"/>
  <c r="AY6" i="25"/>
  <c r="BB5" i="27"/>
  <c r="AL8" i="25"/>
  <c r="AA8" i="27"/>
  <c r="K9" i="29"/>
  <c r="Q5" i="27"/>
  <c r="AM6" i="26"/>
  <c r="U3" i="27"/>
  <c r="P6" i="25"/>
  <c r="BA4" i="27"/>
  <c r="AK7" i="25"/>
  <c r="R3" i="27"/>
  <c r="AL6" i="25"/>
  <c r="O7" i="24"/>
  <c r="J6" i="23"/>
  <c r="V3" i="24"/>
  <c r="W2" i="23"/>
  <c r="S4" i="24"/>
  <c r="N3" i="23"/>
  <c r="AT6" i="24"/>
  <c r="AO5" i="23"/>
  <c r="F3" i="25"/>
  <c r="AO3" i="42"/>
  <c r="AX9" i="29"/>
  <c r="AF8" i="25"/>
  <c r="J10" i="25"/>
  <c r="AD8" i="26"/>
  <c r="Q8" i="24"/>
  <c r="U2" i="26"/>
  <c r="AK8" i="27"/>
  <c r="V10" i="25"/>
  <c r="AM8" i="24"/>
  <c r="AR9" i="23"/>
  <c r="E7" i="24"/>
  <c r="AY5" i="23"/>
  <c r="P8" i="24"/>
  <c r="AV6" i="23"/>
  <c r="AA4" i="22"/>
  <c r="Y9" i="23"/>
  <c r="P7" i="22"/>
  <c r="AY2" i="24"/>
  <c r="X10" i="27"/>
  <c r="E4" i="27"/>
  <c r="T6" i="27"/>
  <c r="AM9" i="27"/>
  <c r="H8" i="28"/>
  <c r="AI5" i="29"/>
  <c r="AO8" i="29"/>
  <c r="F5" i="31"/>
  <c r="AL4" i="29"/>
  <c r="D7" i="30"/>
  <c r="S7" i="29"/>
  <c r="AO2" i="31"/>
  <c r="D4" i="28"/>
  <c r="BA4" i="28"/>
  <c r="AB2" i="30"/>
  <c r="AH6" i="30"/>
  <c r="AY10" i="27"/>
  <c r="F2" i="28"/>
  <c r="N9" i="29"/>
  <c r="T2" i="37"/>
  <c r="M9" i="27"/>
  <c r="Q2" i="30"/>
  <c r="Z7" i="29"/>
  <c r="Z5" i="28"/>
  <c r="AF5" i="27"/>
  <c r="AE7" i="27"/>
  <c r="T3" i="27"/>
  <c r="R5" i="28"/>
  <c r="S7" i="25"/>
  <c r="O5" i="27"/>
  <c r="AD6" i="26"/>
  <c r="I6" i="25"/>
  <c r="AL9" i="29"/>
  <c r="AS6" i="29"/>
  <c r="P9" i="27"/>
  <c r="K7" i="25"/>
  <c r="AX7" i="25"/>
  <c r="F3" i="27"/>
  <c r="AA6" i="25"/>
  <c r="AD5" i="27"/>
  <c r="N8" i="25"/>
  <c r="AC7" i="27"/>
  <c r="AQ9" i="25"/>
  <c r="AF10" i="26"/>
  <c r="G2" i="45"/>
  <c r="AX2" i="28"/>
  <c r="AH10" i="27"/>
  <c r="AT7" i="27"/>
  <c r="AL5" i="29"/>
  <c r="I10" i="27"/>
  <c r="AS10" i="25"/>
  <c r="H3" i="27"/>
  <c r="AB6" i="25"/>
  <c r="BC2" i="27"/>
  <c r="S6" i="25"/>
  <c r="V5" i="27"/>
  <c r="E8" i="25"/>
  <c r="M7" i="27"/>
  <c r="AI9" i="25"/>
  <c r="E10" i="26"/>
  <c r="I2" i="38"/>
  <c r="E5" i="30"/>
  <c r="AB9" i="27"/>
  <c r="AL7" i="27"/>
  <c r="N5" i="29"/>
  <c r="AA9" i="27"/>
  <c r="AK10" i="25"/>
  <c r="BD2" i="27"/>
  <c r="T6" i="25"/>
  <c r="AU2" i="27"/>
  <c r="K6" i="25"/>
  <c r="N5" i="27"/>
  <c r="AV7" i="25"/>
  <c r="AU6" i="27"/>
  <c r="AA9" i="25"/>
  <c r="AH9" i="26"/>
  <c r="Q10" i="30"/>
  <c r="AD8" i="29"/>
  <c r="E8" i="27"/>
  <c r="AM6" i="30"/>
  <c r="X4" i="29"/>
  <c r="S8" i="27"/>
  <c r="M10" i="25"/>
  <c r="AF2" i="27"/>
  <c r="AT5" i="25"/>
  <c r="W2" i="27"/>
  <c r="AK5" i="25"/>
  <c r="BB3" i="27"/>
  <c r="X7" i="25"/>
  <c r="S6" i="27"/>
  <c r="AJ4" i="29"/>
  <c r="W5" i="26"/>
  <c r="AE8" i="25"/>
  <c r="BC4" i="26"/>
  <c r="AZ4" i="25"/>
  <c r="BG2" i="27"/>
  <c r="W6" i="25"/>
  <c r="J2" i="27"/>
  <c r="X5" i="25"/>
  <c r="AY5" i="24"/>
  <c r="AT4" i="23"/>
  <c r="N2" i="24"/>
  <c r="H9" i="22"/>
  <c r="D3" i="24"/>
  <c r="F2" i="23"/>
  <c r="AF5" i="24"/>
  <c r="AA4" i="23"/>
  <c r="AC8" i="24"/>
  <c r="AX10" i="29"/>
  <c r="D7" i="28"/>
  <c r="BB2" i="25"/>
  <c r="BB4" i="25"/>
  <c r="AV10" i="25"/>
  <c r="H8" i="27"/>
  <c r="F10" i="25"/>
  <c r="X6" i="27"/>
  <c r="H9" i="25"/>
  <c r="AG4" i="25"/>
  <c r="AD8" i="23"/>
  <c r="AD6" i="29"/>
  <c r="AG7" i="27"/>
  <c r="AA2" i="29"/>
  <c r="AL2" i="32"/>
  <c r="F2" i="30"/>
  <c r="Y5" i="29"/>
  <c r="V8" i="28"/>
  <c r="K2" i="32"/>
  <c r="AG5" i="30"/>
  <c r="T7" i="29"/>
  <c r="P4" i="29"/>
  <c r="S10" i="30"/>
  <c r="W10" i="29"/>
  <c r="AV5" i="29"/>
  <c r="AX2" i="29"/>
  <c r="R2" i="35"/>
  <c r="T8" i="29"/>
  <c r="J4" i="29"/>
  <c r="AC8" i="28"/>
  <c r="BB8" i="28"/>
  <c r="BF2" i="26"/>
  <c r="AL6" i="26"/>
  <c r="AF10" i="25"/>
  <c r="AV7" i="28"/>
  <c r="D6" i="25"/>
  <c r="U5" i="26"/>
  <c r="AJ9" i="25"/>
  <c r="AQ8" i="27"/>
  <c r="P10" i="28"/>
  <c r="AQ3" i="29"/>
  <c r="AZ7" i="27"/>
  <c r="AU5" i="25"/>
  <c r="V5" i="25"/>
  <c r="AO10" i="26"/>
  <c r="M5" i="25"/>
  <c r="AD3" i="27"/>
  <c r="AX6" i="25"/>
  <c r="AS5" i="27"/>
  <c r="AC8" i="25"/>
  <c r="AF7" i="26"/>
  <c r="AR9" i="30"/>
  <c r="X3" i="29"/>
  <c r="D4" i="30"/>
  <c r="AG10" i="29"/>
  <c r="J3" i="29"/>
  <c r="D7" i="27"/>
  <c r="AE9" i="25"/>
  <c r="AR10" i="26"/>
  <c r="N5" i="25"/>
  <c r="I10" i="26"/>
  <c r="D5" i="25"/>
  <c r="V3" i="27"/>
  <c r="AP6" i="25"/>
  <c r="AK5" i="27"/>
  <c r="U8" i="25"/>
  <c r="T7" i="26"/>
  <c r="AY2" i="34"/>
  <c r="AY8" i="28"/>
  <c r="U10" i="29"/>
  <c r="W9" i="29"/>
  <c r="AP2" i="29"/>
  <c r="AN6" i="27"/>
  <c r="W9" i="25"/>
  <c r="T10" i="26"/>
  <c r="E5" i="25"/>
  <c r="AO9" i="26"/>
  <c r="AU4" i="25"/>
  <c r="N3" i="27"/>
  <c r="AH6" i="25"/>
  <c r="AC5" i="27"/>
  <c r="M8" i="25"/>
  <c r="BB6" i="26"/>
  <c r="AU10" i="30"/>
  <c r="AL5" i="28"/>
  <c r="AI8" i="29"/>
  <c r="I8" i="29"/>
  <c r="BA10" i="28"/>
  <c r="O6" i="27"/>
  <c r="AW8" i="25"/>
  <c r="BB8" i="26"/>
  <c r="AF4" i="25"/>
  <c r="AG8" i="26"/>
  <c r="W4" i="25"/>
  <c r="AT2" i="27"/>
  <c r="J6" i="25"/>
  <c r="D5" i="27"/>
  <c r="AQ4" i="29"/>
  <c r="AY7" i="25"/>
  <c r="BA2" i="25"/>
  <c r="K9" i="25"/>
  <c r="J3" i="25"/>
  <c r="AE10" i="26"/>
  <c r="I5" i="25"/>
  <c r="E8" i="26"/>
  <c r="J4" i="25"/>
  <c r="AK4" i="24"/>
  <c r="AF3" i="23"/>
  <c r="AY9" i="23"/>
  <c r="AP7" i="22"/>
  <c r="AV10" i="23"/>
  <c r="AO8" i="22"/>
  <c r="R4" i="24"/>
  <c r="M3" i="23"/>
  <c r="AS6" i="24"/>
  <c r="H6" i="30"/>
  <c r="AH8" i="27"/>
  <c r="P5" i="28"/>
  <c r="E4" i="25"/>
  <c r="AD3" i="28"/>
  <c r="BH2" i="25"/>
  <c r="I2" i="25"/>
  <c r="W7" i="23"/>
  <c r="AU10" i="23"/>
  <c r="I5" i="26"/>
  <c r="AU2" i="26"/>
  <c r="AY2" i="27"/>
  <c r="BB10" i="26"/>
  <c r="AQ5" i="24"/>
  <c r="AP5" i="24"/>
  <c r="AX8" i="22"/>
  <c r="Z9" i="23"/>
  <c r="AI2" i="25"/>
  <c r="S4" i="23"/>
  <c r="W5" i="24"/>
  <c r="AI2" i="29"/>
  <c r="AU3" i="27"/>
  <c r="AM2" i="26"/>
  <c r="AK10" i="24"/>
  <c r="AS6" i="26"/>
  <c r="BE2" i="25"/>
  <c r="AR4" i="26"/>
  <c r="H2" i="25"/>
  <c r="F3" i="24"/>
  <c r="AG3" i="25"/>
  <c r="U8" i="23"/>
  <c r="J6" i="22"/>
  <c r="R9" i="23"/>
  <c r="F7" i="22"/>
  <c r="AR2" i="24"/>
  <c r="AN9" i="22"/>
  <c r="O5" i="24"/>
  <c r="AS5" i="28"/>
  <c r="I3" i="27"/>
  <c r="I3" i="26"/>
  <c r="E2" i="27"/>
  <c r="AP5" i="25"/>
  <c r="AQ3" i="27"/>
  <c r="M7" i="25"/>
  <c r="AX2" i="27"/>
  <c r="N6" i="25"/>
  <c r="AO6" i="24"/>
  <c r="AJ5" i="23"/>
  <c r="BB2" i="24"/>
  <c r="AX9" i="22"/>
  <c r="AS3" i="24"/>
  <c r="AT2" i="23"/>
  <c r="V6" i="24"/>
  <c r="Q5" i="23"/>
  <c r="R10" i="24"/>
  <c r="Y10" i="30"/>
  <c r="AN4" i="29"/>
  <c r="BB5" i="25"/>
  <c r="AF7" i="25"/>
  <c r="AF3" i="26"/>
  <c r="AI9" i="27"/>
  <c r="AF5" i="29"/>
  <c r="AY7" i="27"/>
  <c r="L8" i="24"/>
  <c r="AG6" i="25"/>
  <c r="R2" i="25"/>
  <c r="F8" i="26"/>
  <c r="K4" i="25"/>
  <c r="G6" i="26"/>
  <c r="AN2" i="25"/>
  <c r="AM3" i="24"/>
  <c r="AN2" i="23"/>
  <c r="BA8" i="23"/>
  <c r="AP6" i="22"/>
  <c r="AX9" i="23"/>
  <c r="AO7" i="22"/>
  <c r="T3" i="24"/>
  <c r="AO9" i="24"/>
  <c r="Q5" i="25"/>
  <c r="D8" i="24"/>
  <c r="AG6" i="23"/>
  <c r="AW8" i="22"/>
  <c r="AV7" i="22"/>
  <c r="AN5" i="23"/>
  <c r="AH2" i="24"/>
  <c r="AD9" i="22"/>
  <c r="D5" i="24"/>
  <c r="AX3" i="23"/>
  <c r="AT4" i="24"/>
  <c r="AO3" i="23"/>
  <c r="AA3" i="22"/>
  <c r="AR6" i="20"/>
  <c r="BH2" i="22"/>
  <c r="AI6" i="20"/>
  <c r="Z5" i="19"/>
  <c r="G2" i="21"/>
  <c r="AW9" i="19"/>
  <c r="AX2" i="22"/>
  <c r="Y6" i="20"/>
  <c r="P5" i="19"/>
  <c r="BA2" i="21"/>
  <c r="AS10" i="19"/>
  <c r="AR2" i="21"/>
  <c r="AJ10" i="19"/>
  <c r="U4" i="22"/>
  <c r="L7" i="20"/>
  <c r="BA5" i="19"/>
  <c r="AS10" i="20"/>
  <c r="AJ9" i="19"/>
  <c r="K7" i="27"/>
  <c r="AE9" i="27"/>
  <c r="D4" i="24"/>
  <c r="AU2" i="23"/>
  <c r="BA4" i="22"/>
  <c r="Y3" i="27"/>
  <c r="U2" i="27"/>
  <c r="BE2" i="27"/>
  <c r="AG10" i="26"/>
  <c r="AR2" i="26"/>
  <c r="AS4" i="23"/>
  <c r="S8" i="23"/>
  <c r="AV5" i="27"/>
  <c r="U10" i="27"/>
  <c r="S7" i="26"/>
  <c r="N5" i="26"/>
  <c r="O3" i="24"/>
  <c r="AB4" i="24"/>
  <c r="AH7" i="22"/>
  <c r="L8" i="23"/>
  <c r="N8" i="24"/>
  <c r="D3" i="23"/>
  <c r="I4" i="24"/>
  <c r="AH7" i="29"/>
  <c r="AI3" i="26"/>
  <c r="D8" i="25"/>
  <c r="W9" i="24"/>
  <c r="AO3" i="26"/>
  <c r="AR10" i="24"/>
  <c r="AB2" i="26"/>
  <c r="AS9" i="24"/>
  <c r="AX10" i="23"/>
  <c r="AH8" i="24"/>
  <c r="F7" i="23"/>
  <c r="G2" i="25"/>
  <c r="BB7" i="23"/>
  <c r="AQ5" i="22"/>
  <c r="AE10" i="23"/>
  <c r="X8" i="22"/>
  <c r="AY3" i="24"/>
  <c r="AR5" i="28"/>
  <c r="AI2" i="26"/>
  <c r="I7" i="25"/>
  <c r="AE2" i="26"/>
  <c r="AB4" i="25"/>
  <c r="AI2" i="27"/>
  <c r="AW5" i="25"/>
  <c r="BB9" i="26"/>
  <c r="AX4" i="25"/>
  <c r="AA5" i="24"/>
  <c r="V4" i="23"/>
  <c r="AO10" i="23"/>
  <c r="AH8" i="22"/>
  <c r="AK2" i="24"/>
  <c r="AG9" i="22"/>
  <c r="H5" i="24"/>
  <c r="BA3" i="23"/>
  <c r="AI7" i="24"/>
  <c r="AQ2" i="35"/>
  <c r="K2" i="28"/>
  <c r="AG10" i="27"/>
  <c r="D2" i="25"/>
  <c r="Z9" i="25"/>
  <c r="AR6" i="27"/>
  <c r="O9" i="29"/>
  <c r="AR9" i="26"/>
  <c r="E3" i="27"/>
  <c r="AR5" i="27"/>
  <c r="D10" i="24"/>
  <c r="AE5" i="26"/>
  <c r="Y2" i="25"/>
  <c r="BH2" i="26"/>
  <c r="AA10" i="24"/>
  <c r="AE2" i="24"/>
  <c r="BB9" i="24"/>
  <c r="AM7" i="23"/>
  <c r="F5" i="25"/>
  <c r="AJ8" i="23"/>
  <c r="Y6" i="22"/>
  <c r="L2" i="24"/>
  <c r="Y6" i="25"/>
  <c r="T10" i="24"/>
  <c r="AS4" i="24"/>
  <c r="BC2" i="23"/>
  <c r="S5" i="22"/>
  <c r="R5" i="22"/>
  <c r="Z4" i="23"/>
  <c r="U10" i="23"/>
  <c r="L8" i="22"/>
  <c r="AO3" i="24"/>
  <c r="AP2" i="23"/>
  <c r="AF3" i="24"/>
  <c r="AG2" i="23"/>
  <c r="E2" i="22"/>
  <c r="AD5" i="20"/>
  <c r="AH10" i="21"/>
  <c r="U5" i="20"/>
  <c r="BB3" i="19"/>
  <c r="AR9" i="20"/>
  <c r="AS6" i="25"/>
  <c r="AI5" i="25"/>
  <c r="U6" i="25"/>
  <c r="AE5" i="29"/>
  <c r="K10" i="24"/>
  <c r="AC3" i="25"/>
  <c r="AN8" i="22"/>
  <c r="AN6" i="26"/>
  <c r="AR3" i="27"/>
  <c r="S4" i="26"/>
  <c r="AJ2" i="26"/>
  <c r="G2" i="24"/>
  <c r="F2" i="24"/>
  <c r="R6" i="22"/>
  <c r="AH5" i="23"/>
  <c r="X5" i="24"/>
  <c r="AV9" i="22"/>
  <c r="AL10" i="23"/>
  <c r="AB7" i="27"/>
  <c r="Q7" i="25"/>
  <c r="AJ3" i="27"/>
  <c r="I8" i="24"/>
  <c r="M2" i="26"/>
  <c r="U8" i="27"/>
  <c r="N10" i="25"/>
  <c r="AE8" i="24"/>
  <c r="AJ9" i="23"/>
  <c r="AV6" i="24"/>
  <c r="AQ5" i="23"/>
  <c r="AX7" i="24"/>
  <c r="AN6" i="23"/>
  <c r="S4" i="22"/>
  <c r="Q9" i="23"/>
  <c r="E7" i="22"/>
  <c r="AQ2" i="24"/>
  <c r="AY5" i="28"/>
  <c r="AC6" i="25"/>
  <c r="AF10" i="24"/>
  <c r="AU7" i="25"/>
  <c r="AP2" i="25"/>
  <c r="F9" i="26"/>
  <c r="AI4" i="25"/>
  <c r="R7" i="26"/>
  <c r="H3" i="25"/>
  <c r="M4" i="24"/>
  <c r="H3" i="23"/>
  <c r="AA9" i="23"/>
  <c r="R7" i="22"/>
  <c r="X10" i="23"/>
  <c r="Q8" i="22"/>
  <c r="AR3" i="24"/>
  <c r="AS2" i="23"/>
  <c r="U6" i="24"/>
  <c r="AT8" i="29"/>
  <c r="AI8" i="27"/>
  <c r="AE2" i="27"/>
  <c r="AA6" i="27"/>
  <c r="AN6" i="25"/>
  <c r="AA5" i="27"/>
  <c r="O10" i="27"/>
  <c r="BB9" i="25"/>
  <c r="AF2" i="26"/>
  <c r="T2" i="27"/>
  <c r="AO8" i="24"/>
  <c r="AS2" i="26"/>
  <c r="M10" i="27"/>
  <c r="AT10" i="25"/>
  <c r="M9" i="24"/>
  <c r="R10" i="23"/>
  <c r="AD7" i="24"/>
  <c r="Y6" i="23"/>
  <c r="N9" i="24"/>
  <c r="V7" i="23"/>
  <c r="K5" i="22"/>
  <c r="Q3" i="35"/>
  <c r="T8" i="25"/>
  <c r="AX3" i="27"/>
  <c r="Z10" i="23"/>
  <c r="AX7" i="22"/>
  <c r="AB7" i="24"/>
  <c r="AA9" i="24"/>
  <c r="L3" i="23"/>
  <c r="F9" i="23"/>
  <c r="AT6" i="22"/>
  <c r="AG2" i="24"/>
  <c r="AC9" i="22"/>
  <c r="X2" i="24"/>
  <c r="T9" i="22"/>
  <c r="V8" i="21"/>
  <c r="P4" i="20"/>
  <c r="BA7" i="21"/>
  <c r="F4" i="20"/>
  <c r="AE8" i="22"/>
  <c r="AD8" i="20"/>
  <c r="U7" i="19"/>
  <c r="AE7" i="21"/>
  <c r="AU3" i="20"/>
  <c r="AH2" i="19"/>
  <c r="Z9" i="20"/>
  <c r="Q8" i="19"/>
  <c r="Q9" i="20"/>
  <c r="H8" i="19"/>
  <c r="H9" i="21"/>
  <c r="AH4" i="20"/>
  <c r="AA7" i="22"/>
  <c r="Q8" i="20"/>
  <c r="V7" i="27"/>
  <c r="U10" i="24"/>
  <c r="AR6" i="26"/>
  <c r="AH6" i="23"/>
  <c r="AV8" i="24"/>
  <c r="AJ3" i="24"/>
  <c r="AU5" i="24"/>
  <c r="AR9" i="24"/>
  <c r="AI7" i="23"/>
  <c r="X5" i="22"/>
  <c r="L10" i="23"/>
  <c r="BA7" i="22"/>
  <c r="BA9" i="23"/>
  <c r="AR7" i="22"/>
  <c r="S5" i="21"/>
  <c r="AT2" i="20"/>
  <c r="AR4" i="21"/>
  <c r="AK2" i="20"/>
  <c r="M4" i="22"/>
  <c r="H7" i="20"/>
  <c r="AW5" i="19"/>
  <c r="AB4" i="21"/>
  <c r="AH4" i="26"/>
  <c r="N2" i="26"/>
  <c r="J3" i="26"/>
  <c r="G7" i="26"/>
  <c r="S5" i="25"/>
  <c r="AU6" i="24"/>
  <c r="H6" i="22"/>
  <c r="AM5" i="27"/>
  <c r="V7" i="25"/>
  <c r="AQ8" i="25"/>
  <c r="AR7" i="25"/>
  <c r="P7" i="23"/>
  <c r="AQ9" i="23"/>
  <c r="AM2" i="25"/>
  <c r="T4" i="23"/>
  <c r="J4" i="24"/>
  <c r="AF8" i="22"/>
  <c r="BB2" i="44"/>
  <c r="Q3" i="27"/>
  <c r="AN10" i="24"/>
  <c r="AJ6" i="26"/>
  <c r="AP7" i="27"/>
  <c r="AW9" i="25"/>
  <c r="P6" i="27"/>
  <c r="AX8" i="25"/>
  <c r="AW3" i="25"/>
  <c r="V8" i="23"/>
  <c r="AH5" i="24"/>
  <c r="AC4" i="23"/>
  <c r="AE6" i="24"/>
  <c r="Z5" i="23"/>
  <c r="BB10" i="24"/>
  <c r="BA7" i="23"/>
  <c r="AP5" i="22"/>
  <c r="AD10" i="23"/>
  <c r="P10" i="27"/>
  <c r="AV3" i="27"/>
  <c r="L6" i="27"/>
  <c r="AA7" i="27"/>
  <c r="AC10" i="24"/>
  <c r="AI6" i="26"/>
  <c r="AW2" i="25"/>
  <c r="R4" i="26"/>
  <c r="AY10" i="24"/>
  <c r="BC2" i="24"/>
  <c r="AQ2" i="25"/>
  <c r="M8" i="23"/>
  <c r="AZ5" i="22"/>
  <c r="J9" i="23"/>
  <c r="AW6" i="22"/>
  <c r="AJ2" i="24"/>
  <c r="AF9" i="22"/>
  <c r="F5" i="24"/>
  <c r="O8" i="27"/>
  <c r="AS10" i="26"/>
  <c r="AY10" i="25"/>
  <c r="AS7" i="26"/>
  <c r="Z5" i="25"/>
  <c r="S2" i="34"/>
  <c r="AH2" i="29"/>
  <c r="AV4" i="25"/>
  <c r="Z6" i="25"/>
  <c r="E3" i="26"/>
  <c r="K9" i="27"/>
  <c r="AE10" i="25"/>
  <c r="F7" i="27"/>
  <c r="AF9" i="25"/>
  <c r="AW7" i="24"/>
  <c r="BB8" i="23"/>
  <c r="P6" i="24"/>
  <c r="K5" i="23"/>
  <c r="M7" i="24"/>
  <c r="H6" i="23"/>
  <c r="BA4" i="25"/>
  <c r="Z4" i="29"/>
  <c r="J2" i="25"/>
  <c r="AB8" i="26"/>
  <c r="AP6" i="23"/>
  <c r="AD9" i="24"/>
  <c r="Z4" i="24"/>
  <c r="D6" i="24"/>
  <c r="N10" i="24"/>
  <c r="AQ7" i="23"/>
  <c r="AF5" i="22"/>
  <c r="T10" i="23"/>
  <c r="K8" i="22"/>
  <c r="K10" i="23"/>
  <c r="AZ7" i="22"/>
  <c r="AF5" i="21"/>
  <c r="BB2" i="20"/>
  <c r="H5" i="21"/>
  <c r="AS2" i="20"/>
  <c r="AC4" i="22"/>
  <c r="P7" i="20"/>
  <c r="F6" i="19"/>
  <c r="AN4" i="21"/>
  <c r="AI2" i="20"/>
  <c r="D7" i="22"/>
  <c r="L8" i="20"/>
  <c r="W6" i="22"/>
  <c r="BA7" i="20"/>
  <c r="AR6" i="19"/>
  <c r="AA6" i="21"/>
  <c r="T3" i="20"/>
  <c r="BB3" i="22"/>
  <c r="BA6" i="20"/>
  <c r="F9" i="27"/>
  <c r="AI5" i="27"/>
  <c r="AL10" i="25"/>
  <c r="BD2" i="23"/>
  <c r="AQ4" i="24"/>
  <c r="AW9" i="23"/>
  <c r="S3" i="24"/>
  <c r="Z7" i="24"/>
  <c r="U6" i="23"/>
  <c r="AR3" i="22"/>
  <c r="AV8" i="23"/>
  <c r="AK6" i="22"/>
  <c r="F2" i="25"/>
  <c r="AS3" i="32"/>
  <c r="AG10" i="24"/>
  <c r="AN10" i="26"/>
  <c r="O2" i="24"/>
  <c r="T8" i="23"/>
  <c r="Q4" i="24"/>
  <c r="W8" i="25"/>
  <c r="AR4" i="25"/>
  <c r="O6" i="25"/>
  <c r="P5" i="25"/>
  <c r="AL4" i="23"/>
  <c r="AC8" i="23"/>
  <c r="AM6" i="24"/>
  <c r="AW9" i="22"/>
  <c r="AZ2" i="24"/>
  <c r="AX5" i="22"/>
  <c r="AS5" i="29"/>
  <c r="AQ2" i="26"/>
  <c r="AH7" i="26"/>
  <c r="N7" i="25"/>
  <c r="AY5" i="27"/>
  <c r="AI8" i="25"/>
  <c r="AZ4" i="27"/>
  <c r="AJ7" i="25"/>
  <c r="AK8" i="24"/>
  <c r="H7" i="23"/>
  <c r="T4" i="24"/>
  <c r="O3" i="23"/>
  <c r="Q5" i="24"/>
  <c r="L4" i="23"/>
  <c r="AV7" i="24"/>
  <c r="AM6" i="23"/>
  <c r="R4" i="22"/>
  <c r="P9" i="23"/>
  <c r="E10" i="28"/>
  <c r="AL3" i="26"/>
  <c r="V7" i="26"/>
  <c r="AB3" i="27"/>
  <c r="O9" i="24"/>
  <c r="AE3" i="26"/>
  <c r="AJ10" i="24"/>
  <c r="T2" i="26"/>
  <c r="AK9" i="24"/>
  <c r="AP10" i="23"/>
  <c r="R8" i="24"/>
  <c r="AW6" i="23"/>
  <c r="Z10" i="24"/>
  <c r="AT7" i="23"/>
  <c r="AI5" i="22"/>
  <c r="W10" i="23"/>
  <c r="N8" i="22"/>
  <c r="AQ3" i="24"/>
  <c r="N8" i="27"/>
  <c r="U10" i="25"/>
  <c r="AS5" i="25"/>
  <c r="Y10" i="25"/>
  <c r="L4" i="25"/>
  <c r="AK8" i="30"/>
  <c r="E10" i="27"/>
  <c r="AH7" i="27"/>
  <c r="AW9" i="24"/>
  <c r="AB8" i="25"/>
  <c r="AG6" i="27"/>
  <c r="Q9" i="25"/>
  <c r="AH5" i="27"/>
  <c r="R8" i="25"/>
  <c r="E10" i="24"/>
  <c r="AN7" i="23"/>
  <c r="AZ4" i="24"/>
  <c r="AU3" i="23"/>
  <c r="AW5" i="24"/>
  <c r="AR4" i="23"/>
  <c r="L9" i="24"/>
  <c r="AV9" i="27"/>
  <c r="Y6" i="27"/>
  <c r="BB10" i="25"/>
  <c r="AN3" i="23"/>
  <c r="AY4" i="24"/>
  <c r="F10" i="23"/>
  <c r="AA3" i="24"/>
  <c r="AH7" i="24"/>
  <c r="AC6" i="23"/>
  <c r="H4" i="22"/>
  <c r="E9" i="23"/>
  <c r="AS6" i="22"/>
  <c r="AU8" i="23"/>
  <c r="AJ6" i="22"/>
  <c r="AW2" i="21"/>
  <c r="AO10" i="19"/>
  <c r="AN2" i="21"/>
  <c r="AF10" i="19"/>
  <c r="AA2" i="22"/>
  <c r="AZ5" i="20"/>
  <c r="AM4" i="19"/>
  <c r="AD2" i="21"/>
  <c r="V10" i="19"/>
  <c r="AG3" i="22"/>
  <c r="AV6" i="20"/>
  <c r="H3" i="22"/>
  <c r="AM6" i="20"/>
  <c r="AD5" i="19"/>
  <c r="AA3" i="21"/>
  <c r="H2" i="20"/>
  <c r="N2" i="22"/>
  <c r="AM5" i="20"/>
  <c r="AV2" i="27"/>
  <c r="AO8" i="26"/>
  <c r="L7" i="25"/>
  <c r="V7" i="24"/>
  <c r="P10" i="23"/>
  <c r="U7" i="23"/>
  <c r="AV9" i="23"/>
  <c r="L6" i="24"/>
  <c r="F5" i="23"/>
  <c r="AN9" i="24"/>
  <c r="AH7" i="23"/>
  <c r="T9" i="24"/>
  <c r="Y7" i="23"/>
  <c r="N5" i="22"/>
  <c r="AB10" i="20"/>
  <c r="S9" i="19"/>
  <c r="S10" i="20"/>
  <c r="J9" i="19"/>
  <c r="BB8" i="21"/>
  <c r="AD4" i="20"/>
  <c r="K3" i="19"/>
  <c r="F4" i="26"/>
  <c r="AK5" i="28"/>
  <c r="BE2" i="26"/>
  <c r="AB5" i="27"/>
  <c r="AL8" i="23"/>
  <c r="AP5" i="23"/>
  <c r="AT10" i="23"/>
  <c r="M8" i="27"/>
  <c r="AS10" i="24"/>
  <c r="I3" i="25"/>
  <c r="P2" i="25"/>
  <c r="X3" i="23"/>
  <c r="O7" i="23"/>
  <c r="Y5" i="24"/>
  <c r="AG8" i="22"/>
  <c r="AM10" i="23"/>
  <c r="Z4" i="22"/>
  <c r="AZ6" i="28"/>
  <c r="AK6" i="25"/>
  <c r="BB8" i="25"/>
  <c r="AX5" i="25"/>
  <c r="AY3" i="27"/>
  <c r="U7" i="25"/>
  <c r="BF2" i="27"/>
  <c r="V6" i="25"/>
  <c r="AW6" i="24"/>
  <c r="AR5" i="23"/>
  <c r="E3" i="24"/>
  <c r="G2" i="23"/>
  <c r="BA3" i="24"/>
  <c r="BB2" i="23"/>
  <c r="AD6" i="24"/>
  <c r="Y5" i="23"/>
  <c r="AX10" i="24"/>
  <c r="BA2" i="46"/>
  <c r="R7" i="29"/>
  <c r="R7" i="25"/>
  <c r="AT8" i="25"/>
  <c r="T6" i="26"/>
  <c r="AY7" i="24"/>
  <c r="E2" i="26"/>
  <c r="D8" i="27"/>
  <c r="E10" i="25"/>
  <c r="W8" i="24"/>
  <c r="AB9" i="23"/>
  <c r="AN6" i="24"/>
  <c r="AI5" i="23"/>
  <c r="AK7" i="24"/>
  <c r="AF6" i="23"/>
  <c r="K4" i="22"/>
  <c r="I9" i="23"/>
  <c r="AV6" i="22"/>
  <c r="AI2" i="24"/>
  <c r="AF9" i="29"/>
  <c r="O5" i="25"/>
  <c r="R9" i="24"/>
  <c r="AO6" i="25"/>
  <c r="Z2" i="25"/>
  <c r="S8" i="28"/>
  <c r="AE6" i="27"/>
  <c r="S9" i="26"/>
  <c r="U5" i="27"/>
  <c r="AF6" i="25"/>
  <c r="S5" i="27"/>
  <c r="BA7" i="25"/>
  <c r="AH3" i="27"/>
  <c r="BB6" i="25"/>
  <c r="AE7" i="24"/>
  <c r="Z6" i="23"/>
  <c r="AL3" i="24"/>
  <c r="AM2" i="23"/>
  <c r="AI4" i="24"/>
  <c r="AD3" i="23"/>
  <c r="L7" i="24"/>
  <c r="AI7" i="27"/>
  <c r="BC10" i="26"/>
  <c r="T7" i="25"/>
  <c r="AM7" i="24"/>
  <c r="E2" i="24"/>
  <c r="AC7" i="23"/>
  <c r="E10" i="23"/>
  <c r="T6" i="24"/>
  <c r="O5" i="23"/>
  <c r="L10" i="24"/>
  <c r="AP7" i="23"/>
  <c r="AL9" i="24"/>
  <c r="AG7" i="23"/>
  <c r="V5" i="22"/>
  <c r="AJ10" i="20"/>
  <c r="AA9" i="19"/>
  <c r="AA10" i="20"/>
  <c r="R9" i="19"/>
  <c r="AB9" i="21"/>
  <c r="AL4" i="20"/>
  <c r="U3" i="19"/>
  <c r="Q10" i="20"/>
  <c r="H9" i="19"/>
  <c r="I2" i="22"/>
  <c r="AH5" i="20"/>
  <c r="AS10" i="21"/>
  <c r="Y5" i="20"/>
  <c r="H4" i="19"/>
  <c r="BB10" i="20"/>
  <c r="AS9" i="19"/>
  <c r="AQ8" i="21"/>
  <c r="Y4" i="20"/>
  <c r="AM2" i="27"/>
  <c r="AK2" i="26"/>
  <c r="BD2" i="25"/>
  <c r="AT3" i="24"/>
  <c r="N7" i="23"/>
  <c r="AV10" i="24"/>
  <c r="AQ5" i="28"/>
  <c r="X10" i="24"/>
  <c r="AM9" i="24"/>
  <c r="P9" i="24"/>
  <c r="I6" i="22"/>
  <c r="AD3" i="29"/>
  <c r="G10" i="26"/>
  <c r="AE9" i="24"/>
  <c r="AZ10" i="24"/>
  <c r="BA9" i="24"/>
  <c r="AC4" i="25"/>
  <c r="AK4" i="23"/>
  <c r="BA2" i="24"/>
  <c r="Q7" i="22"/>
  <c r="K8" i="23"/>
  <c r="M8" i="24"/>
  <c r="AY6" i="28"/>
  <c r="G4" i="26"/>
  <c r="Q9" i="27"/>
  <c r="AJ4" i="25"/>
  <c r="AQ2" i="27"/>
  <c r="F6" i="25"/>
  <c r="AD10" i="26"/>
  <c r="H5" i="25"/>
  <c r="AI5" i="24"/>
  <c r="AD4" i="23"/>
  <c r="AW10" i="23"/>
  <c r="AP8" i="22"/>
  <c r="AS2" i="24"/>
  <c r="AO9" i="22"/>
  <c r="P5" i="24"/>
  <c r="K4" i="23"/>
  <c r="AU7" i="24"/>
  <c r="N2" i="33"/>
  <c r="H4" i="28"/>
  <c r="AO10" i="24"/>
  <c r="T3" i="25"/>
  <c r="AP9" i="25"/>
  <c r="Z7" i="27"/>
  <c r="AO9" i="25"/>
  <c r="H6" i="27"/>
  <c r="AP8" i="25"/>
  <c r="AU2" i="25"/>
  <c r="N8" i="23"/>
  <c r="Z5" i="24"/>
  <c r="U4" i="23"/>
  <c r="W6" i="24"/>
  <c r="R5" i="23"/>
  <c r="V10" i="24"/>
  <c r="AS7" i="23"/>
  <c r="AH5" i="22"/>
  <c r="V10" i="23"/>
  <c r="Q7" i="30"/>
  <c r="AN2" i="27"/>
  <c r="AD4" i="27"/>
  <c r="AS6" i="27"/>
  <c r="M10" i="24"/>
  <c r="AS9" i="29"/>
  <c r="BC7" i="26"/>
  <c r="AS9" i="25"/>
  <c r="AG5" i="26"/>
  <c r="R5" i="25"/>
  <c r="S3" i="27"/>
  <c r="AM6" i="25"/>
  <c r="Z2" i="27"/>
  <c r="AN5" i="25"/>
  <c r="Q6" i="24"/>
  <c r="L5" i="23"/>
  <c r="AD2" i="24"/>
  <c r="Z9" i="22"/>
  <c r="U3" i="24"/>
  <c r="V2" i="23"/>
  <c r="AV5" i="24"/>
  <c r="R7" i="27"/>
  <c r="BA2" i="26"/>
  <c r="R4" i="25"/>
  <c r="BB3" i="24"/>
  <c r="AD7" i="23"/>
  <c r="AY4" i="23"/>
  <c r="R8" i="23"/>
  <c r="E5" i="24"/>
  <c r="AY3" i="23"/>
  <c r="AG7" i="24"/>
  <c r="AB6" i="23"/>
  <c r="X7" i="24"/>
  <c r="S6" i="23"/>
  <c r="AN3" i="22"/>
  <c r="V9" i="20"/>
  <c r="M8" i="19"/>
  <c r="M9" i="20"/>
  <c r="BB7" i="19"/>
  <c r="AE6" i="21"/>
  <c r="X3" i="20"/>
  <c r="X2" i="23"/>
  <c r="BA8" i="20"/>
  <c r="AR7" i="19"/>
  <c r="AD8" i="21"/>
  <c r="T4" i="20"/>
  <c r="F8" i="21"/>
  <c r="K4" i="20"/>
  <c r="AV2" i="19"/>
  <c r="AN9" i="20"/>
  <c r="AE8" i="19"/>
  <c r="BA5" i="21"/>
  <c r="F3" i="20"/>
  <c r="E5" i="27"/>
  <c r="K8" i="25"/>
  <c r="D9" i="24"/>
  <c r="S9" i="23"/>
  <c r="AL3" i="23"/>
  <c r="U2" i="23"/>
  <c r="AT6" i="23"/>
  <c r="AH3" i="24"/>
  <c r="AI2" i="23"/>
  <c r="K6" i="24"/>
  <c r="E5" i="23"/>
  <c r="AZ5" i="24"/>
  <c r="AU4" i="23"/>
  <c r="O6" i="22"/>
  <c r="AX7" i="20"/>
  <c r="AO5" i="22"/>
  <c r="AO7" i="20"/>
  <c r="AF6" i="19"/>
  <c r="F3" i="21"/>
  <c r="D2" i="20"/>
  <c r="T5" i="22"/>
  <c r="AT7" i="26"/>
  <c r="AF9" i="28"/>
  <c r="E7" i="26"/>
  <c r="AS4" i="26"/>
  <c r="AX5" i="24"/>
  <c r="S3" i="25"/>
  <c r="AO6" i="28"/>
  <c r="AA8" i="24"/>
  <c r="I6" i="27"/>
  <c r="J5" i="27"/>
  <c r="BA8" i="24"/>
  <c r="AX8" i="24"/>
  <c r="W3" i="23"/>
  <c r="AN10" i="23"/>
  <c r="AY5" i="22"/>
  <c r="AU6" i="23"/>
  <c r="AK6" i="24"/>
  <c r="H7" i="28"/>
  <c r="Z7" i="25"/>
  <c r="M2" i="27"/>
  <c r="AX2" i="25"/>
  <c r="AG9" i="26"/>
  <c r="AQ4" i="25"/>
  <c r="AD7" i="26"/>
  <c r="AD3" i="25"/>
  <c r="U4" i="24"/>
  <c r="P3" i="23"/>
  <c r="AI9" i="23"/>
  <c r="Z7" i="22"/>
  <c r="AF10" i="23"/>
  <c r="Y8" i="22"/>
  <c r="AZ3" i="24"/>
  <c r="BA2" i="23"/>
  <c r="AC6" i="24"/>
  <c r="I3" i="29"/>
  <c r="T7" i="27"/>
  <c r="AM3" i="27"/>
  <c r="AS8" i="27"/>
  <c r="E7" i="25"/>
  <c r="AQ5" i="27"/>
  <c r="AA8" i="25"/>
  <c r="H4" i="27"/>
  <c r="AB7" i="25"/>
  <c r="U8" i="24"/>
  <c r="AX6" i="23"/>
  <c r="L4" i="24"/>
  <c r="F3" i="23"/>
  <c r="I5" i="24"/>
  <c r="BB3" i="23"/>
  <c r="AJ7" i="24"/>
  <c r="AE6" i="23"/>
  <c r="J4" i="22"/>
  <c r="H9" i="23"/>
  <c r="F6" i="28"/>
  <c r="J2" i="26"/>
  <c r="AF4" i="26"/>
  <c r="AB2" i="27"/>
  <c r="AW8" i="24"/>
  <c r="D10" i="29"/>
  <c r="O9" i="25"/>
  <c r="AM4" i="25"/>
  <c r="Q10" i="25"/>
  <c r="BB3" i="25"/>
  <c r="K2" i="27"/>
  <c r="Y5" i="25"/>
  <c r="AN8" i="26"/>
  <c r="Z4" i="25"/>
  <c r="BA4" i="24"/>
  <c r="AV3" i="23"/>
  <c r="Q10" i="23"/>
  <c r="H8" i="22"/>
  <c r="M2" i="24"/>
  <c r="F9" i="22"/>
  <c r="AH4" i="24"/>
  <c r="BB7" i="24"/>
  <c r="S8" i="25"/>
  <c r="U9" i="24"/>
  <c r="I10" i="23"/>
  <c r="AT3" i="23"/>
  <c r="AC2" i="23"/>
  <c r="BB6" i="23"/>
  <c r="AP3" i="24"/>
  <c r="AQ2" i="23"/>
  <c r="S6" i="24"/>
  <c r="N5" i="23"/>
  <c r="J6" i="24"/>
  <c r="D5" i="23"/>
  <c r="AM6" i="22"/>
  <c r="H8" i="20"/>
  <c r="M6" i="22"/>
  <c r="AW7" i="20"/>
  <c r="AN6" i="19"/>
  <c r="AE3" i="21"/>
  <c r="L2" i="20"/>
  <c r="AK5" i="22"/>
  <c r="AM7" i="20"/>
  <c r="AD6" i="19"/>
  <c r="AL5" i="21"/>
  <c r="BF2" i="20"/>
  <c r="AA5" i="21"/>
  <c r="AW2" i="20"/>
  <c r="M8" i="22"/>
  <c r="Z8" i="20"/>
  <c r="Q7" i="19"/>
  <c r="BF2" i="21"/>
  <c r="AX10" i="19"/>
  <c r="AJ6" i="27"/>
  <c r="AA4" i="25"/>
  <c r="AN7" i="24"/>
  <c r="Q6" i="23"/>
  <c r="F8" i="22"/>
  <c r="AN7" i="22"/>
  <c r="AF5" i="23"/>
  <c r="Z2" i="24"/>
  <c r="V9" i="22"/>
  <c r="AU4" i="24"/>
  <c r="AP3" i="23"/>
  <c r="AL4" i="24"/>
  <c r="AG3" i="23"/>
  <c r="D3" i="22"/>
  <c r="AJ6" i="20"/>
  <c r="AZ2" i="22"/>
  <c r="AA6" i="20"/>
  <c r="R5" i="19"/>
  <c r="AX10" i="20"/>
  <c r="AO9" i="19"/>
  <c r="AP2" i="22"/>
  <c r="AI8" i="19"/>
  <c r="W2" i="22"/>
  <c r="H7" i="22"/>
  <c r="AV4" i="24"/>
  <c r="Y2" i="24"/>
  <c r="K6" i="23"/>
  <c r="N9" i="20"/>
  <c r="D9" i="20"/>
  <c r="H6" i="21"/>
  <c r="AQ9" i="22"/>
  <c r="BA4" i="20"/>
  <c r="AJ3" i="19"/>
  <c r="AF10" i="20"/>
  <c r="W9" i="19"/>
  <c r="W10" i="20"/>
  <c r="N9" i="19"/>
  <c r="O2" i="22"/>
  <c r="AN5" i="20"/>
  <c r="AA4" i="19"/>
  <c r="W9" i="20"/>
  <c r="BB5" i="28"/>
  <c r="X6" i="25"/>
  <c r="Z3" i="27"/>
  <c r="T9" i="23"/>
  <c r="AX6" i="22"/>
  <c r="BB6" i="24"/>
  <c r="AS8" i="24"/>
  <c r="AZ2" i="23"/>
  <c r="AO8" i="23"/>
  <c r="AD6" i="22"/>
  <c r="Q2" i="24"/>
  <c r="M9" i="22"/>
  <c r="H2" i="24"/>
  <c r="AZ8" i="22"/>
  <c r="AH7" i="21"/>
  <c r="AX3" i="20"/>
  <c r="H7" i="21"/>
  <c r="AO3" i="20"/>
  <c r="O7" i="22"/>
  <c r="N8" i="20"/>
  <c r="D7" i="19"/>
  <c r="AN6" i="21"/>
  <c r="AE3" i="20"/>
  <c r="R2" i="19"/>
  <c r="J9" i="20"/>
  <c r="P2" i="23"/>
  <c r="AY8" i="20"/>
  <c r="AP7" i="19"/>
  <c r="AB8" i="21"/>
  <c r="R4" i="20"/>
  <c r="S6" i="22"/>
  <c r="AY7" i="20"/>
  <c r="X6" i="28"/>
  <c r="F9" i="24"/>
  <c r="AR5" i="26"/>
  <c r="AB5" i="23"/>
  <c r="U7" i="24"/>
  <c r="L3" i="24"/>
  <c r="AW4" i="24"/>
  <c r="H9" i="24"/>
  <c r="S7" i="23"/>
  <c r="H5" i="22"/>
  <c r="AT9" i="23"/>
  <c r="AK7" i="22"/>
  <c r="AK9" i="23"/>
  <c r="AB7" i="22"/>
  <c r="AE4" i="21"/>
  <c r="AD2" i="20"/>
  <c r="E4" i="21"/>
  <c r="U2" i="20"/>
  <c r="U3" i="22"/>
  <c r="AP6" i="20"/>
  <c r="AG5" i="19"/>
  <c r="AD3" i="21"/>
  <c r="K2" i="20"/>
  <c r="AG5" i="22"/>
  <c r="AL7" i="20"/>
  <c r="O5" i="22"/>
  <c r="AC7" i="20"/>
  <c r="T6" i="19"/>
  <c r="U5" i="21"/>
  <c r="AV2" i="20"/>
  <c r="BB2" i="22"/>
  <c r="AC6" i="20"/>
  <c r="AT9" i="25"/>
  <c r="I6" i="26"/>
  <c r="AV5" i="25"/>
  <c r="H6" i="24"/>
  <c r="AZ8" i="23"/>
  <c r="O6" i="23"/>
  <c r="AX8" i="23"/>
  <c r="AL5" i="24"/>
  <c r="AG4" i="23"/>
  <c r="S10" i="21"/>
  <c r="AV5" i="20"/>
  <c r="T7" i="24"/>
  <c r="M10" i="23"/>
  <c r="T6" i="23"/>
  <c r="Y2" i="23"/>
  <c r="V5" i="20"/>
  <c r="M5" i="20"/>
  <c r="AJ9" i="20"/>
  <c r="D10" i="21"/>
  <c r="AM3" i="20"/>
  <c r="Z2" i="19"/>
  <c r="R9" i="20"/>
  <c r="I8" i="19"/>
  <c r="I9" i="20"/>
  <c r="AX7" i="19"/>
  <c r="AR8" i="21"/>
  <c r="Z4" i="20"/>
  <c r="AQ6" i="22"/>
  <c r="I8" i="20"/>
  <c r="AW8" i="29"/>
  <c r="AU9" i="24"/>
  <c r="AH6" i="26"/>
  <c r="R6" i="23"/>
  <c r="AC7" i="24"/>
  <c r="AB3" i="24"/>
  <c r="AM5" i="24"/>
  <c r="X9" i="24"/>
  <c r="AA7" i="23"/>
  <c r="P5" i="22"/>
  <c r="BB9" i="23"/>
  <c r="AS7" i="22"/>
  <c r="AS9" i="23"/>
  <c r="AJ7" i="22"/>
  <c r="AW4" i="21"/>
  <c r="AL2" i="20"/>
  <c r="AD4" i="21"/>
  <c r="AC2" i="20"/>
  <c r="AM3" i="22"/>
  <c r="AX6" i="20"/>
  <c r="AO5" i="19"/>
  <c r="BB3" i="21"/>
  <c r="S2" i="20"/>
  <c r="D6" i="22"/>
  <c r="AT7" i="20"/>
  <c r="AE5" i="22"/>
  <c r="AK7" i="20"/>
  <c r="AB6" i="19"/>
  <c r="AH5" i="21"/>
  <c r="BD2" i="20"/>
  <c r="E3" i="22"/>
  <c r="AK6" i="20"/>
  <c r="I2" i="27"/>
  <c r="AI3" i="27"/>
  <c r="AN9" i="25"/>
  <c r="AF2" i="23"/>
  <c r="AK3" i="24"/>
  <c r="AY8" i="23"/>
  <c r="AA2" i="24"/>
  <c r="J7" i="24"/>
  <c r="D6" i="23"/>
  <c r="AO4" i="25"/>
  <c r="AF8" i="23"/>
  <c r="D4" i="25"/>
  <c r="W8" i="23"/>
  <c r="L6" i="22"/>
  <c r="Y2" i="21"/>
  <c r="Q10" i="19"/>
  <c r="P2" i="21"/>
  <c r="H10" i="19"/>
  <c r="BB10" i="21"/>
  <c r="AB5" i="20"/>
  <c r="M4" i="19"/>
  <c r="F2" i="21"/>
  <c r="AV9" i="19"/>
  <c r="AW2" i="22"/>
  <c r="X6" i="20"/>
  <c r="AN2" i="22"/>
  <c r="O6" i="20"/>
  <c r="E5" i="19"/>
  <c r="AQ2" i="21"/>
  <c r="AI10" i="19"/>
  <c r="AB10" i="21"/>
  <c r="O5" i="20"/>
  <c r="AK9" i="25"/>
  <c r="W10" i="25"/>
  <c r="AQ10" i="24"/>
  <c r="AL2" i="24"/>
  <c r="AX5" i="23"/>
  <c r="AK3" i="23"/>
  <c r="AJ7" i="23"/>
  <c r="X4" i="24"/>
  <c r="S3" i="23"/>
  <c r="AY6" i="24"/>
  <c r="AT5" i="23"/>
  <c r="AP6" i="24"/>
  <c r="AK5" i="23"/>
  <c r="W9" i="22"/>
  <c r="AN8" i="20"/>
  <c r="AI8" i="22"/>
  <c r="AE8" i="20"/>
  <c r="V7" i="19"/>
  <c r="F5" i="21"/>
  <c r="AR2" i="20"/>
  <c r="AQ7" i="22"/>
  <c r="U8" i="20"/>
  <c r="L7" i="19"/>
  <c r="D7" i="21"/>
  <c r="AL3" i="20"/>
  <c r="AJ6" i="21"/>
  <c r="AC3" i="20"/>
  <c r="P2" i="19"/>
  <c r="H9" i="20"/>
  <c r="AW7" i="19"/>
  <c r="AF4" i="21"/>
  <c r="AE2" i="20"/>
  <c r="AG2" i="30"/>
  <c r="AQ8" i="29"/>
  <c r="N4" i="23"/>
  <c r="Z5" i="22"/>
  <c r="K3" i="23"/>
  <c r="K7" i="22"/>
  <c r="M2" i="22"/>
  <c r="W8" i="20"/>
  <c r="R6" i="20"/>
  <c r="S5" i="20"/>
  <c r="AD3" i="20"/>
  <c r="K5" i="20"/>
  <c r="AI4" i="19"/>
  <c r="AQ4" i="23"/>
  <c r="AW8" i="23"/>
  <c r="AH2" i="23"/>
  <c r="J9" i="22"/>
  <c r="H4" i="20"/>
  <c r="AW3" i="20"/>
  <c r="V8" i="20"/>
  <c r="E7" i="21"/>
  <c r="AA2" i="20"/>
  <c r="AA6" i="22"/>
  <c r="BB7" i="20"/>
  <c r="BA5" i="22"/>
  <c r="AS7" i="20"/>
  <c r="AJ6" i="19"/>
  <c r="BB5" i="21"/>
  <c r="H3" i="20"/>
  <c r="AB3" i="22"/>
  <c r="AS6" i="20"/>
  <c r="W6" i="27"/>
  <c r="K5" i="27"/>
  <c r="AV9" i="25"/>
  <c r="AV2" i="23"/>
  <c r="AA4" i="24"/>
  <c r="AO9" i="23"/>
  <c r="K3" i="24"/>
  <c r="R7" i="24"/>
  <c r="M6" i="23"/>
  <c r="AF3" i="22"/>
  <c r="AN8" i="23"/>
  <c r="AK4" i="25"/>
  <c r="AE8" i="23"/>
  <c r="T6" i="22"/>
  <c r="AG2" i="21"/>
  <c r="Y10" i="19"/>
  <c r="X2" i="21"/>
  <c r="P10" i="19"/>
  <c r="K2" i="22"/>
  <c r="AJ5" i="20"/>
  <c r="W4" i="19"/>
  <c r="N2" i="21"/>
  <c r="E10" i="19"/>
  <c r="BE2" i="22"/>
  <c r="AF6" i="20"/>
  <c r="AV2" i="22"/>
  <c r="W6" i="20"/>
  <c r="N5" i="19"/>
  <c r="AY2" i="21"/>
  <c r="AQ10" i="19"/>
  <c r="AN10" i="21"/>
  <c r="W5" i="20"/>
  <c r="R2" i="26"/>
  <c r="AO7" i="26"/>
  <c r="E6" i="25"/>
  <c r="X6" i="24"/>
  <c r="AP9" i="23"/>
  <c r="W6" i="23"/>
  <c r="X9" i="23"/>
  <c r="AT5" i="24"/>
  <c r="AO4" i="23"/>
  <c r="E9" i="24"/>
  <c r="R7" i="23"/>
  <c r="AL8" i="24"/>
  <c r="I7" i="23"/>
  <c r="AN4" i="22"/>
  <c r="L10" i="20"/>
  <c r="BA8" i="19"/>
  <c r="BA9" i="20"/>
  <c r="AR8" i="19"/>
  <c r="T8" i="21"/>
  <c r="N4" i="20"/>
  <c r="AY2" i="19"/>
  <c r="AQ9" i="20"/>
  <c r="AH8" i="19"/>
  <c r="R10" i="21"/>
  <c r="J5" i="20"/>
  <c r="BA9" i="21"/>
  <c r="AY4" i="20"/>
  <c r="AH3" i="19"/>
  <c r="AD10" i="20"/>
  <c r="U9" i="19"/>
  <c r="AM7" i="21"/>
  <c r="AY3" i="20"/>
  <c r="X2" i="26"/>
  <c r="AU6" i="25"/>
  <c r="AO7" i="24"/>
  <c r="D8" i="23"/>
  <c r="AD2" i="23"/>
  <c r="P9" i="22"/>
  <c r="V6" i="23"/>
  <c r="J3" i="24"/>
  <c r="K2" i="23"/>
  <c r="AK5" i="24"/>
  <c r="AF4" i="23"/>
  <c r="AB5" i="24"/>
  <c r="W4" i="23"/>
  <c r="I5" i="22"/>
  <c r="Z7" i="20"/>
  <c r="AE4" i="22"/>
  <c r="Q7" i="20"/>
  <c r="H6" i="19"/>
  <c r="AM2" i="21"/>
  <c r="AE10" i="19"/>
  <c r="L4" i="22"/>
  <c r="F7" i="20"/>
  <c r="AV5" i="19"/>
  <c r="AA4" i="21"/>
  <c r="Z2" i="20"/>
  <c r="AR3" i="21"/>
  <c r="Q2" i="20"/>
  <c r="AW5" i="22"/>
  <c r="AR7" i="20"/>
  <c r="AI6" i="19"/>
  <c r="Z2" i="21"/>
  <c r="R10" i="19"/>
  <c r="S2" i="28"/>
  <c r="AG10" i="25"/>
  <c r="V2" i="24"/>
  <c r="Y4" i="24"/>
  <c r="V8" i="22"/>
  <c r="AR3" i="19"/>
  <c r="AE9" i="20"/>
  <c r="J5" i="22"/>
  <c r="AQ3" i="23"/>
  <c r="U9" i="22"/>
  <c r="AB6" i="22"/>
  <c r="AG10" i="19"/>
  <c r="X10" i="19"/>
  <c r="AR5" i="20"/>
  <c r="V2" i="21"/>
  <c r="N10" i="19"/>
  <c r="S3" i="22"/>
  <c r="AN6" i="20"/>
  <c r="BD2" i="22"/>
  <c r="AE6" i="20"/>
  <c r="V5" i="19"/>
  <c r="BG2" i="21"/>
  <c r="AY10" i="19"/>
  <c r="F2" i="22"/>
  <c r="AE5" i="20"/>
  <c r="AD9" i="26"/>
  <c r="AC8" i="26"/>
  <c r="AT6" i="25"/>
  <c r="AF6" i="24"/>
  <c r="H10" i="23"/>
  <c r="M7" i="23"/>
  <c r="AN9" i="23"/>
  <c r="BB5" i="24"/>
  <c r="AW4" i="23"/>
  <c r="V9" i="24"/>
  <c r="Z7" i="23"/>
  <c r="BB8" i="24"/>
  <c r="Q7" i="23"/>
  <c r="E5" i="22"/>
  <c r="T10" i="20"/>
  <c r="K9" i="19"/>
  <c r="K10" i="20"/>
  <c r="AZ8" i="19"/>
  <c r="AF8" i="21"/>
  <c r="V4" i="20"/>
  <c r="BG2" i="19"/>
  <c r="AY9" i="20"/>
  <c r="AP8" i="19"/>
  <c r="AE10" i="21"/>
  <c r="R5" i="20"/>
  <c r="Q10" i="21"/>
  <c r="I5" i="20"/>
  <c r="AP3" i="19"/>
  <c r="AL10" i="20"/>
  <c r="AC9" i="19"/>
  <c r="D8" i="21"/>
  <c r="I4" i="20"/>
  <c r="I2" i="26"/>
  <c r="AM10" i="25"/>
  <c r="AF2" i="25"/>
  <c r="AT2" i="24"/>
  <c r="P6" i="23"/>
  <c r="AS3" i="23"/>
  <c r="AR7" i="23"/>
  <c r="AF4" i="24"/>
  <c r="AA3" i="23"/>
  <c r="I7" i="24"/>
  <c r="BB5" i="23"/>
  <c r="AX6" i="24"/>
  <c r="AS5" i="23"/>
  <c r="D2" i="23"/>
  <c r="AV8" i="20"/>
  <c r="S9" i="22"/>
  <c r="AM8" i="20"/>
  <c r="AD7" i="19"/>
  <c r="AD5" i="21"/>
  <c r="AZ2" i="20"/>
  <c r="AA8" i="22"/>
  <c r="AC8" i="20"/>
  <c r="T7" i="19"/>
  <c r="AD7" i="21"/>
  <c r="AT3" i="20"/>
  <c r="BB6" i="21"/>
  <c r="AK3" i="20"/>
  <c r="X2" i="19"/>
  <c r="P9" i="20"/>
  <c r="F8" i="19"/>
  <c r="AX4" i="21"/>
  <c r="AM2" i="20"/>
  <c r="S5" i="26"/>
  <c r="AO2" i="25"/>
  <c r="Y6" i="24"/>
  <c r="BA4" i="23"/>
  <c r="AO6" i="22"/>
  <c r="AF6" i="22"/>
  <c r="H5" i="23"/>
  <c r="BA10" i="23"/>
  <c r="AT8" i="22"/>
  <c r="W4" i="24"/>
  <c r="R3" i="23"/>
  <c r="N4" i="24"/>
  <c r="I3" i="23"/>
  <c r="AK2" i="22"/>
  <c r="L6" i="20"/>
  <c r="AB2" i="22"/>
  <c r="BA5" i="20"/>
  <c r="AN4" i="19"/>
  <c r="Z10" i="20"/>
  <c r="Q9" i="19"/>
  <c r="R2" i="22"/>
  <c r="AQ5" i="20"/>
  <c r="AD4" i="19"/>
  <c r="U2" i="21"/>
  <c r="M10" i="19"/>
  <c r="L2" i="21"/>
  <c r="BB9" i="19"/>
  <c r="BC2" i="22"/>
  <c r="AD6" i="20"/>
  <c r="U5" i="19"/>
  <c r="M10" i="20"/>
  <c r="K2" i="37"/>
  <c r="W5" i="25"/>
  <c r="AO8" i="27"/>
  <c r="AM3" i="23"/>
  <c r="AB7" i="23"/>
  <c r="X4" i="22"/>
  <c r="AN3" i="24"/>
  <c r="AF8" i="20"/>
  <c r="AV10" i="19"/>
  <c r="AQ8" i="19"/>
  <c r="BB6" i="19"/>
  <c r="F4" i="22"/>
  <c r="AN10" i="20"/>
  <c r="Q3" i="30"/>
  <c r="K9" i="24"/>
  <c r="BB7" i="22"/>
  <c r="P7" i="24"/>
  <c r="AD3" i="22"/>
  <c r="AJ2" i="23"/>
  <c r="AT7" i="19"/>
  <c r="N3" i="20"/>
  <c r="I10" i="20"/>
  <c r="AX8" i="19"/>
  <c r="AT10" i="21"/>
  <c r="Z5" i="20"/>
  <c r="AD10" i="21"/>
  <c r="Q5" i="20"/>
  <c r="AX3" i="19"/>
  <c r="AT10" i="20"/>
  <c r="AK9" i="19"/>
  <c r="AA8" i="21"/>
  <c r="Q4" i="20"/>
  <c r="AY8" i="26"/>
  <c r="AU10" i="25"/>
  <c r="AV2" i="25"/>
  <c r="AD3" i="24"/>
  <c r="X6" i="23"/>
  <c r="AI4" i="23"/>
  <c r="AZ7" i="23"/>
  <c r="AN4" i="24"/>
  <c r="AI3" i="23"/>
  <c r="Q7" i="24"/>
  <c r="L6" i="23"/>
  <c r="H7" i="24"/>
  <c r="BA5" i="23"/>
  <c r="AR2" i="23"/>
  <c r="E9" i="20"/>
  <c r="AY9" i="22"/>
  <c r="AU8" i="20"/>
  <c r="AL7" i="19"/>
  <c r="AN5" i="21"/>
  <c r="BH2" i="20"/>
  <c r="I9" i="22"/>
  <c r="AK8" i="20"/>
  <c r="AB7" i="19"/>
  <c r="AR7" i="21"/>
  <c r="BB3" i="20"/>
  <c r="AC7" i="21"/>
  <c r="AS3" i="20"/>
  <c r="AF2" i="19"/>
  <c r="X9" i="20"/>
  <c r="O8" i="19"/>
  <c r="T5" i="21"/>
  <c r="AU2" i="20"/>
  <c r="E5" i="26"/>
  <c r="D7" i="25"/>
  <c r="F8" i="24"/>
  <c r="AS8" i="23"/>
  <c r="AL2" i="23"/>
  <c r="X9" i="22"/>
  <c r="AD6" i="23"/>
  <c r="R3" i="24"/>
  <c r="S2" i="23"/>
  <c r="AS5" i="24"/>
  <c r="AN4" i="23"/>
  <c r="AJ5" i="24"/>
  <c r="AE4" i="23"/>
  <c r="Y5" i="22"/>
  <c r="AH7" i="20"/>
  <c r="F5" i="22"/>
  <c r="Y7" i="20"/>
  <c r="P6" i="19"/>
  <c r="AU2" i="21"/>
  <c r="AM10" i="19"/>
  <c r="AB4" i="22"/>
  <c r="O7" i="20"/>
  <c r="E6" i="19"/>
  <c r="AM4" i="21"/>
  <c r="AH2" i="20"/>
  <c r="V4" i="21"/>
  <c r="Y2" i="20"/>
  <c r="U6" i="22"/>
  <c r="AZ7" i="20"/>
  <c r="AQ6" i="19"/>
  <c r="AH2" i="21"/>
  <c r="Z10" i="19"/>
  <c r="G9" i="26"/>
  <c r="AO6" i="27"/>
  <c r="AU2" i="24"/>
  <c r="AH9" i="22"/>
  <c r="U4" i="25"/>
  <c r="AH3" i="22"/>
  <c r="AR3" i="23"/>
  <c r="AM9" i="23"/>
  <c r="AD7" i="22"/>
  <c r="I3" i="24"/>
  <c r="J2" i="23"/>
  <c r="BD2" i="24"/>
  <c r="AZ9" i="22"/>
  <c r="AR9" i="21"/>
  <c r="AV4" i="20"/>
  <c r="AC9" i="21"/>
  <c r="AM4" i="20"/>
  <c r="V3" i="19"/>
  <c r="L9" i="20"/>
  <c r="BA7" i="19"/>
  <c r="BA8" i="21"/>
  <c r="AC4" i="20"/>
  <c r="J3" i="19"/>
  <c r="H10" i="20"/>
  <c r="AW8" i="19"/>
  <c r="AW9" i="20"/>
  <c r="AN8" i="19"/>
  <c r="AC10" i="21"/>
  <c r="P5" i="20"/>
  <c r="H2" i="23"/>
  <c r="AW8" i="20"/>
  <c r="T9" i="27"/>
  <c r="AI9" i="24"/>
  <c r="AG9" i="25"/>
  <c r="F6" i="24"/>
  <c r="AH4" i="23"/>
  <c r="AQ6" i="24"/>
  <c r="M9" i="23"/>
  <c r="AL5" i="20"/>
  <c r="N7" i="19"/>
  <c r="I5" i="19"/>
  <c r="AZ3" i="19"/>
  <c r="AB6" i="21"/>
  <c r="U4" i="21"/>
  <c r="AE9" i="19"/>
  <c r="AV6" i="25"/>
  <c r="J8" i="23"/>
  <c r="AL6" i="22"/>
  <c r="X3" i="24"/>
  <c r="AM10" i="21"/>
  <c r="U10" i="21"/>
  <c r="AT3" i="19"/>
  <c r="AA8" i="19"/>
  <c r="AS8" i="20"/>
  <c r="AJ7" i="19"/>
  <c r="H8" i="21"/>
  <c r="L4" i="20"/>
  <c r="AQ7" i="21"/>
  <c r="BA3" i="20"/>
  <c r="AN2" i="19"/>
  <c r="AF9" i="20"/>
  <c r="W8" i="19"/>
  <c r="AG5" i="21"/>
  <c r="BC2" i="20"/>
  <c r="BB2" i="27"/>
  <c r="AS7" i="25"/>
  <c r="O8" i="24"/>
  <c r="K9" i="23"/>
  <c r="V3" i="23"/>
  <c r="M2" i="23"/>
  <c r="AL6" i="23"/>
  <c r="Z3" i="24"/>
  <c r="AA2" i="23"/>
  <c r="BA5" i="24"/>
  <c r="AV4" i="23"/>
  <c r="AR5" i="24"/>
  <c r="AM4" i="23"/>
  <c r="AS5" i="22"/>
  <c r="AP7" i="20"/>
  <c r="W5" i="22"/>
  <c r="AG7" i="20"/>
  <c r="X6" i="19"/>
  <c r="BC2" i="21"/>
  <c r="AU10" i="19"/>
  <c r="BB4" i="22"/>
  <c r="W7" i="20"/>
  <c r="N6" i="19"/>
  <c r="D5" i="21"/>
  <c r="AP2" i="20"/>
  <c r="AH4" i="21"/>
  <c r="AG2" i="20"/>
  <c r="AU6" i="22"/>
  <c r="J8" i="20"/>
  <c r="AY6" i="19"/>
  <c r="AP2" i="21"/>
  <c r="AH10" i="19"/>
  <c r="I8" i="26"/>
  <c r="BA3" i="25"/>
  <c r="AG6" i="24"/>
  <c r="S5" i="23"/>
  <c r="AG7" i="22"/>
  <c r="AN6" i="22"/>
  <c r="P5" i="23"/>
  <c r="J2" i="24"/>
  <c r="BB8" i="22"/>
  <c r="AE4" i="24"/>
  <c r="Z3" i="23"/>
  <c r="V4" i="24"/>
  <c r="Q3" i="23"/>
  <c r="AS2" i="22"/>
  <c r="T6" i="20"/>
  <c r="AJ2" i="22"/>
  <c r="K6" i="20"/>
  <c r="AZ4" i="19"/>
  <c r="AH10" i="20"/>
  <c r="Y9" i="19"/>
  <c r="Z2" i="22"/>
  <c r="AY5" i="20"/>
  <c r="AL4" i="19"/>
  <c r="AC2" i="21"/>
  <c r="U10" i="19"/>
  <c r="T2" i="21"/>
  <c r="L10" i="19"/>
  <c r="F3" i="22"/>
  <c r="AL6" i="20"/>
  <c r="AC5" i="19"/>
  <c r="U10" i="20"/>
  <c r="AJ8" i="29"/>
  <c r="J5" i="25"/>
  <c r="AH2" i="27"/>
  <c r="AT8" i="23"/>
  <c r="AR5" i="22"/>
  <c r="E6" i="24"/>
  <c r="S7" i="24"/>
  <c r="M4" i="25"/>
  <c r="Y8" i="23"/>
  <c r="N6" i="22"/>
  <c r="AE10" i="20"/>
  <c r="AP3" i="27"/>
  <c r="R4" i="23"/>
  <c r="Y7" i="24"/>
  <c r="P2" i="24"/>
  <c r="BB7" i="21"/>
  <c r="AG7" i="21"/>
  <c r="AU7" i="22"/>
  <c r="M7" i="19"/>
  <c r="AE7" i="20"/>
  <c r="V6" i="19"/>
  <c r="AB5" i="21"/>
  <c r="AX2" i="20"/>
  <c r="BB4" i="21"/>
  <c r="AO2" i="20"/>
  <c r="AE7" i="22"/>
  <c r="R8" i="20"/>
  <c r="I7" i="19"/>
  <c r="AX2" i="21"/>
  <c r="AP10" i="19"/>
  <c r="M5" i="27"/>
  <c r="S4" i="25"/>
  <c r="W7" i="24"/>
  <c r="AA5" i="23"/>
  <c r="AW7" i="22"/>
  <c r="AF7" i="22"/>
  <c r="X5" i="23"/>
  <c r="R2" i="24"/>
  <c r="N9" i="22"/>
  <c r="AM4" i="24"/>
  <c r="AH3" i="23"/>
  <c r="AD4" i="24"/>
  <c r="Y3" i="23"/>
  <c r="BA2" i="22"/>
  <c r="AB6" i="20"/>
  <c r="AR2" i="22"/>
  <c r="S6" i="20"/>
  <c r="J5" i="19"/>
  <c r="AP10" i="20"/>
  <c r="AG9" i="19"/>
  <c r="AH2" i="22"/>
  <c r="I6" i="20"/>
  <c r="AX4" i="19"/>
  <c r="AK2" i="21"/>
  <c r="AC10" i="19"/>
  <c r="AB2" i="21"/>
  <c r="T10" i="19"/>
  <c r="AC3" i="22"/>
  <c r="AT6" i="20"/>
  <c r="AK5" i="19"/>
  <c r="AC10" i="20"/>
  <c r="T9" i="19"/>
  <c r="AJ2" i="27"/>
  <c r="W7" i="27"/>
  <c r="AE3" i="24"/>
  <c r="AP9" i="22"/>
  <c r="AK3" i="22"/>
  <c r="AT3" i="22"/>
  <c r="AZ3" i="23"/>
  <c r="AU9" i="23"/>
  <c r="AL7" i="22"/>
  <c r="Q3" i="24"/>
  <c r="R2" i="23"/>
  <c r="H3" i="24"/>
  <c r="I2" i="23"/>
  <c r="H10" i="21"/>
  <c r="E5" i="20"/>
  <c r="AQ9" i="21"/>
  <c r="AU4" i="20"/>
  <c r="AD3" i="19"/>
  <c r="T9" i="20"/>
  <c r="K8" i="19"/>
  <c r="AA9" i="21"/>
  <c r="AK4" i="20"/>
  <c r="T3" i="19"/>
  <c r="P10" i="20"/>
  <c r="F9" i="19"/>
  <c r="F10" i="20"/>
  <c r="AV8" i="19"/>
  <c r="AQ10" i="21"/>
  <c r="X5" i="20"/>
  <c r="F4" i="19"/>
  <c r="F9" i="20"/>
  <c r="F10" i="27"/>
  <c r="AG8" i="24"/>
  <c r="AN3" i="26"/>
  <c r="T5" i="23"/>
  <c r="D7" i="24"/>
  <c r="AB2" i="24"/>
  <c r="AO4" i="24"/>
  <c r="AP8" i="24"/>
  <c r="K7" i="23"/>
  <c r="AR4" i="22"/>
  <c r="AL9" i="23"/>
  <c r="AC7" i="22"/>
  <c r="AC9" i="23"/>
  <c r="T7" i="22"/>
  <c r="F4" i="21"/>
  <c r="V2" i="20"/>
  <c r="AF3" i="21"/>
  <c r="M2" i="20"/>
  <c r="BG2" i="22"/>
  <c r="AH6" i="20"/>
  <c r="Y5" i="19"/>
  <c r="E3" i="21"/>
  <c r="BB10" i="19"/>
  <c r="Q5" i="22"/>
  <c r="AD7" i="20"/>
  <c r="AQ4" i="22"/>
  <c r="U7" i="20"/>
  <c r="L6" i="19"/>
  <c r="BA4" i="21"/>
  <c r="AN2" i="20"/>
  <c r="AT2" i="22"/>
  <c r="U6" i="20"/>
  <c r="AC10" i="25"/>
  <c r="L2" i="25"/>
  <c r="AZ2" i="26"/>
  <c r="AA5" i="22"/>
  <c r="P4" i="24"/>
  <c r="V9" i="23"/>
  <c r="AO2" i="23"/>
  <c r="AY7" i="22"/>
  <c r="AQ2" i="22"/>
  <c r="AF10" i="21"/>
  <c r="AM6" i="21"/>
  <c r="D7" i="20"/>
  <c r="V9" i="19"/>
  <c r="J10" i="23"/>
  <c r="BH2" i="23"/>
  <c r="AG3" i="24"/>
  <c r="AM8" i="23"/>
  <c r="AO2" i="21"/>
  <c r="AF2" i="21"/>
  <c r="S2" i="22"/>
  <c r="AE4" i="19"/>
  <c r="Q6" i="20"/>
  <c r="H5" i="19"/>
  <c r="AS2" i="21"/>
  <c r="AK10" i="19"/>
  <c r="AJ2" i="21"/>
  <c r="AB10" i="19"/>
  <c r="D4" i="22"/>
  <c r="BB6" i="20"/>
  <c r="AS5" i="19"/>
  <c r="AK10" i="20"/>
  <c r="AB9" i="19"/>
  <c r="AJ5" i="27"/>
  <c r="AM7" i="27"/>
  <c r="AU3" i="24"/>
  <c r="AE2" i="23"/>
  <c r="BA3" i="22"/>
  <c r="AZ4" i="22"/>
  <c r="J4" i="23"/>
  <c r="D10" i="23"/>
  <c r="AT7" i="22"/>
  <c r="Y3" i="24"/>
  <c r="Z2" i="23"/>
  <c r="P3" i="24"/>
  <c r="Q2" i="23"/>
  <c r="AA10" i="21"/>
  <c r="N5" i="20"/>
  <c r="F10" i="21"/>
  <c r="D5" i="20"/>
  <c r="AL3" i="19"/>
  <c r="AB9" i="20"/>
  <c r="S8" i="19"/>
  <c r="AM9" i="21"/>
  <c r="AS4" i="20"/>
  <c r="AB3" i="19"/>
  <c r="X10" i="20"/>
  <c r="O9" i="19"/>
  <c r="O10" i="20"/>
  <c r="E9" i="19"/>
  <c r="G2" i="22"/>
  <c r="AF5" i="20"/>
  <c r="S4" i="19"/>
  <c r="O9" i="20"/>
  <c r="U9" i="27"/>
  <c r="AH5" i="25"/>
  <c r="AP2" i="27"/>
  <c r="L9" i="23"/>
  <c r="AH6" i="22"/>
  <c r="N6" i="24"/>
  <c r="AA7" i="24"/>
  <c r="AS4" i="25"/>
  <c r="AG8" i="23"/>
  <c r="V6" i="22"/>
  <c r="I2" i="24"/>
  <c r="BA8" i="22"/>
  <c r="AY10" i="23"/>
  <c r="AR8" i="22"/>
  <c r="U7" i="21"/>
  <c r="AP3" i="20"/>
  <c r="AR6" i="21"/>
  <c r="AG3" i="20"/>
  <c r="AE6" i="22"/>
  <c r="E8" i="20"/>
  <c r="AU6" i="19"/>
  <c r="AD6" i="21"/>
  <c r="W3" i="20"/>
  <c r="T2" i="23"/>
  <c r="AZ8" i="20"/>
  <c r="AI9" i="22"/>
  <c r="AQ8" i="20"/>
  <c r="AH7" i="19"/>
  <c r="E8" i="21"/>
  <c r="J4" i="20"/>
  <c r="AU5" i="22"/>
  <c r="AQ7" i="20"/>
  <c r="AM7" i="26"/>
  <c r="AA3" i="27"/>
  <c r="X9" i="25"/>
  <c r="K2" i="25"/>
  <c r="AC3" i="24"/>
  <c r="AQ8" i="23"/>
  <c r="S2" i="24"/>
  <c r="AZ6" i="24"/>
  <c r="AU5" i="23"/>
  <c r="I4" i="25"/>
  <c r="X8" i="23"/>
  <c r="AY2" i="25"/>
  <c r="O8" i="23"/>
  <c r="BB5" i="22"/>
  <c r="Q2" i="21"/>
  <c r="I10" i="19"/>
  <c r="H2" i="21"/>
  <c r="AX9" i="19"/>
  <c r="AG10" i="21"/>
  <c r="T5" i="20"/>
  <c r="BA3" i="19"/>
  <c r="AW10" i="20"/>
  <c r="AN9" i="19"/>
  <c r="AO2" i="22"/>
  <c r="P6" i="20"/>
  <c r="AF2" i="22"/>
  <c r="F6" i="20"/>
  <c r="AR4" i="19"/>
  <c r="AI2" i="21"/>
  <c r="AA10" i="19"/>
  <c r="M10" i="21"/>
  <c r="F5" i="20"/>
  <c r="L6" i="25"/>
  <c r="AM7" i="25"/>
  <c r="AI10" i="24"/>
  <c r="D2" i="24"/>
  <c r="AC10" i="23"/>
  <c r="AN8" i="24"/>
  <c r="AD4" i="22"/>
  <c r="AJ8" i="19"/>
  <c r="AI9" i="20"/>
  <c r="AG9" i="21"/>
  <c r="M9" i="19"/>
  <c r="AH9" i="25"/>
  <c r="AL5" i="23"/>
  <c r="D2" i="22"/>
  <c r="AT2" i="21"/>
  <c r="U3" i="20"/>
  <c r="AO7" i="19"/>
  <c r="AF7" i="19"/>
  <c r="AF6" i="18"/>
  <c r="AU2" i="16"/>
  <c r="Q6" i="18"/>
  <c r="AL2" i="16"/>
  <c r="S5" i="19"/>
  <c r="AS6" i="17"/>
  <c r="Q10" i="14"/>
  <c r="L2" i="26"/>
  <c r="AV9" i="24"/>
  <c r="H4" i="24"/>
  <c r="N9" i="23"/>
  <c r="AR9" i="22"/>
  <c r="S7" i="22"/>
  <c r="AI2" i="22"/>
  <c r="AE8" i="21"/>
  <c r="AC6" i="21"/>
  <c r="AU6" i="20"/>
  <c r="H5" i="20"/>
  <c r="O2" i="20"/>
  <c r="R10" i="18"/>
  <c r="AM3" i="17"/>
  <c r="D10" i="18"/>
  <c r="V3" i="17"/>
  <c r="E6" i="14"/>
  <c r="S10" i="17"/>
  <c r="AH4" i="15"/>
  <c r="I9" i="25"/>
  <c r="M3" i="24"/>
  <c r="AB3" i="23"/>
  <c r="AA6" i="24"/>
  <c r="F8" i="23"/>
  <c r="AF4" i="20"/>
  <c r="AV6" i="19"/>
  <c r="AS3" i="19"/>
  <c r="AX2" i="19"/>
  <c r="AK5" i="21"/>
  <c r="AA2" i="21"/>
  <c r="AG8" i="20"/>
  <c r="W7" i="19"/>
  <c r="AM7" i="17"/>
  <c r="AK6" i="19"/>
  <c r="V7" i="17"/>
  <c r="G2" i="15"/>
  <c r="BB2" i="26"/>
  <c r="AU7" i="23"/>
  <c r="BB10" i="23"/>
  <c r="BB6" i="22"/>
  <c r="T5" i="24"/>
  <c r="AZ10" i="20"/>
  <c r="O4" i="20"/>
  <c r="W10" i="19"/>
  <c r="AO5" i="25"/>
  <c r="U2" i="24"/>
  <c r="BG2" i="25"/>
  <c r="U5" i="24"/>
  <c r="AO7" i="23"/>
  <c r="Z3" i="20"/>
  <c r="AP5" i="19"/>
  <c r="AC3" i="19"/>
  <c r="D9" i="22"/>
  <c r="BH2" i="21"/>
  <c r="K2" i="21"/>
  <c r="AA7" i="20"/>
  <c r="I6" i="19"/>
  <c r="M7" i="17"/>
  <c r="W5" i="19"/>
  <c r="AT6" i="17"/>
  <c r="AF10" i="14"/>
  <c r="N4" i="18"/>
  <c r="AX7" i="15"/>
  <c r="AS5" i="26"/>
  <c r="Y4" i="25"/>
  <c r="AV5" i="23"/>
  <c r="X8" i="24"/>
  <c r="AA10" i="23"/>
  <c r="AZ6" i="20"/>
  <c r="AB8" i="19"/>
  <c r="W6" i="19"/>
  <c r="X5" i="19"/>
  <c r="U9" i="21"/>
  <c r="BA6" i="21"/>
  <c r="BA10" i="20"/>
  <c r="AT2" i="19"/>
  <c r="F9" i="17"/>
  <c r="BD2" i="15"/>
  <c r="AR8" i="17"/>
  <c r="AG2" i="25"/>
  <c r="AB8" i="23"/>
  <c r="J3" i="23"/>
  <c r="AG10" i="20"/>
  <c r="E10" i="20"/>
  <c r="AP2" i="18"/>
  <c r="AM3" i="16"/>
  <c r="AE9" i="17"/>
  <c r="P3" i="14"/>
  <c r="N9" i="17"/>
  <c r="D3" i="15"/>
  <c r="AX7" i="18"/>
  <c r="G2" i="17"/>
  <c r="AC7" i="18"/>
  <c r="AE3" i="16"/>
  <c r="AC3" i="14"/>
  <c r="AA9" i="17"/>
  <c r="AF3" i="15"/>
  <c r="D6" i="18"/>
  <c r="AF2" i="16"/>
  <c r="AQ2" i="14"/>
  <c r="Z16" i="8"/>
  <c r="Y13" i="8"/>
  <c r="AL2" i="14"/>
  <c r="V14" i="8"/>
  <c r="AE4" i="14"/>
  <c r="M2" i="21"/>
  <c r="AY7" i="18"/>
  <c r="AZ10" i="23"/>
  <c r="AW6" i="21"/>
  <c r="K6" i="22"/>
  <c r="M3" i="20"/>
  <c r="AI8" i="20"/>
  <c r="AB5" i="22"/>
  <c r="AB10" i="24"/>
  <c r="AX2" i="23"/>
  <c r="BD2" i="21"/>
  <c r="M8" i="20"/>
  <c r="AD9" i="19"/>
  <c r="AQ4" i="19"/>
  <c r="R6" i="19"/>
  <c r="AD4" i="18"/>
  <c r="AB8" i="15"/>
  <c r="Q4" i="18"/>
  <c r="M8" i="15"/>
  <c r="G2" i="19"/>
  <c r="AG4" i="17"/>
  <c r="AE7" i="14"/>
  <c r="S10" i="24"/>
  <c r="O10" i="23"/>
  <c r="AE9" i="23"/>
  <c r="AD5" i="23"/>
  <c r="AR6" i="22"/>
  <c r="D9" i="21"/>
  <c r="AC4" i="21"/>
  <c r="AL2" i="21"/>
  <c r="AX9" i="20"/>
  <c r="I3" i="20"/>
  <c r="P2" i="20"/>
  <c r="AL8" i="19"/>
  <c r="R8" i="18"/>
  <c r="S2" i="17"/>
  <c r="BA7" i="18"/>
  <c r="J2" i="17"/>
  <c r="J7" i="23"/>
  <c r="BB9" i="20"/>
  <c r="AX7" i="21"/>
  <c r="Z8" i="19"/>
  <c r="AQ4" i="20"/>
  <c r="AA7" i="21"/>
  <c r="K5" i="24"/>
  <c r="AH6" i="24"/>
  <c r="AC5" i="20"/>
  <c r="AL10" i="19"/>
  <c r="AT5" i="19"/>
  <c r="AD2" i="22"/>
  <c r="BB4" i="19"/>
  <c r="AH2" i="18"/>
  <c r="AD6" i="15"/>
  <c r="Y2" i="18"/>
  <c r="M6" i="15"/>
  <c r="H9" i="18"/>
  <c r="AW2" i="17"/>
  <c r="AQ4" i="14"/>
  <c r="AM2" i="24"/>
  <c r="U3" i="23"/>
  <c r="AK6" i="23"/>
  <c r="BA9" i="22"/>
  <c r="D8" i="22"/>
  <c r="AV2" i="21"/>
  <c r="BB8" i="20"/>
  <c r="D8" i="20"/>
  <c r="E7" i="20"/>
  <c r="AF8" i="19"/>
  <c r="AG7" i="19"/>
  <c r="X7" i="19"/>
  <c r="R6" i="18"/>
  <c r="AM2" i="16"/>
  <c r="BA5" i="18"/>
  <c r="AD2" i="16"/>
  <c r="AG4" i="19"/>
  <c r="AE6" i="17"/>
  <c r="AU9" i="14"/>
  <c r="AH8" i="25"/>
  <c r="AB9" i="24"/>
  <c r="AX3" i="24"/>
  <c r="P8" i="23"/>
  <c r="AJ9" i="22"/>
  <c r="AI6" i="22"/>
  <c r="T10" i="21"/>
  <c r="S8" i="21"/>
  <c r="E6" i="21"/>
  <c r="AW5" i="20"/>
  <c r="AX4" i="20"/>
  <c r="G2" i="20"/>
  <c r="E10" i="18"/>
  <c r="AA3" i="17"/>
  <c r="AM9" i="18"/>
  <c r="J3" i="17"/>
  <c r="AN5" i="14"/>
  <c r="AE6" i="25"/>
  <c r="AC2" i="24"/>
  <c r="T3" i="23"/>
  <c r="AC5" i="24"/>
  <c r="AW7" i="23"/>
  <c r="X4" i="20"/>
  <c r="AX5" i="19"/>
  <c r="AK3" i="19"/>
  <c r="J8" i="25"/>
  <c r="AN5" i="24"/>
  <c r="AX2" i="24"/>
  <c r="AX7" i="23"/>
  <c r="AB8" i="22"/>
  <c r="AQ3" i="22"/>
  <c r="AN9" i="21"/>
  <c r="AM5" i="21"/>
  <c r="AC3" i="21"/>
  <c r="AG5" i="20"/>
  <c r="AR3" i="20"/>
  <c r="AZ9" i="19"/>
  <c r="AB9" i="18"/>
  <c r="BG2" i="17"/>
  <c r="M9" i="18"/>
  <c r="AX2" i="17"/>
  <c r="E5" i="14"/>
  <c r="AM9" i="17"/>
  <c r="AR3" i="15"/>
  <c r="AF9" i="26"/>
  <c r="Q9" i="22"/>
  <c r="AD5" i="24"/>
  <c r="AJ10" i="23"/>
  <c r="AW3" i="23"/>
  <c r="AK8" i="19"/>
  <c r="U5" i="22"/>
  <c r="BF2" i="22"/>
  <c r="AH9" i="21"/>
  <c r="S8" i="20"/>
  <c r="T7" i="20"/>
  <c r="AI3" i="20"/>
  <c r="I2" i="19"/>
  <c r="AM4" i="17"/>
  <c r="AY10" i="18"/>
  <c r="V4" i="17"/>
  <c r="AP4" i="25"/>
  <c r="E5" i="31"/>
  <c r="N4" i="22"/>
  <c r="AM7" i="22"/>
  <c r="AL2" i="22"/>
  <c r="BB3" i="16"/>
  <c r="AU2" i="15"/>
  <c r="I3" i="17"/>
  <c r="N2" i="19"/>
  <c r="AT4" i="17"/>
  <c r="H8" i="14"/>
  <c r="AR3" i="18"/>
  <c r="AV7" i="15"/>
  <c r="D3" i="18"/>
  <c r="AA7" i="15"/>
  <c r="AM2" i="19"/>
  <c r="Q5" i="17"/>
  <c r="AG8" i="14"/>
  <c r="S2" i="18"/>
  <c r="BA5" i="15"/>
  <c r="H2" i="14"/>
  <c r="AP13" i="8"/>
  <c r="AH3" i="14"/>
  <c r="G15" i="8"/>
  <c r="F10" i="14"/>
  <c r="AJ15" i="8"/>
  <c r="AX8" i="18"/>
  <c r="BB5" i="14"/>
  <c r="Q3" i="19"/>
  <c r="AS8" i="22"/>
  <c r="AH3" i="20"/>
  <c r="AV7" i="20"/>
  <c r="AM9" i="22"/>
  <c r="Z7" i="19"/>
  <c r="AI7" i="20"/>
  <c r="J5" i="23"/>
  <c r="AC5" i="23"/>
  <c r="N4" i="19"/>
  <c r="Y4" i="22"/>
  <c r="L2" i="23"/>
  <c r="H4" i="21"/>
  <c r="AF3" i="19"/>
  <c r="AW9" i="17"/>
  <c r="AB4" i="15"/>
  <c r="AN9" i="17"/>
  <c r="M4" i="15"/>
  <c r="T7" i="18"/>
  <c r="T3" i="16"/>
  <c r="R2" i="29"/>
  <c r="E4" i="23"/>
  <c r="AW4" i="25"/>
  <c r="BG2" i="23"/>
  <c r="BA6" i="22"/>
  <c r="AD9" i="21"/>
  <c r="O8" i="20"/>
  <c r="J6" i="20"/>
  <c r="U4" i="20"/>
  <c r="V3" i="20"/>
  <c r="AL5" i="19"/>
  <c r="AA9" i="22"/>
  <c r="J6" i="19"/>
  <c r="R4" i="18"/>
  <c r="N8" i="15"/>
  <c r="BA3" i="18"/>
  <c r="AY7" i="15"/>
  <c r="AX10" i="18"/>
  <c r="U4" i="17"/>
  <c r="F7" i="14"/>
  <c r="AC9" i="24"/>
  <c r="AI8" i="23"/>
  <c r="W9" i="23"/>
  <c r="V5" i="23"/>
  <c r="AT5" i="22"/>
  <c r="AG8" i="21"/>
  <c r="D4" i="21"/>
  <c r="AO10" i="20"/>
  <c r="AP9" i="20"/>
  <c r="BE2" i="20"/>
  <c r="S10" i="19"/>
  <c r="AD8" i="19"/>
  <c r="BB7" i="18"/>
  <c r="K2" i="17"/>
  <c r="AS7" i="18"/>
  <c r="BA3" i="16"/>
  <c r="AO3" i="14"/>
  <c r="Z5" i="27"/>
  <c r="N2" i="23"/>
  <c r="AJ6" i="24"/>
  <c r="AO2" i="24"/>
  <c r="O4" i="23"/>
  <c r="AQ9" i="19"/>
  <c r="O9" i="22"/>
  <c r="AL3" i="22"/>
  <c r="AH10" i="24"/>
  <c r="AK7" i="23"/>
  <c r="Q8" i="23"/>
  <c r="P4" i="23"/>
  <c r="AD5" i="22"/>
  <c r="S6" i="21"/>
  <c r="W2" i="21"/>
  <c r="Y10" i="20"/>
  <c r="AJ8" i="20"/>
  <c r="AZ10" i="19"/>
  <c r="BA9" i="19"/>
  <c r="N8" i="19"/>
  <c r="AH7" i="18"/>
  <c r="AN3" i="16"/>
  <c r="U7" i="18"/>
  <c r="AA3" i="16"/>
  <c r="AU7" i="19"/>
  <c r="BA7" i="17"/>
  <c r="N2" i="15"/>
  <c r="AF5" i="25"/>
  <c r="AX4" i="24"/>
  <c r="AP2" i="24"/>
  <c r="AZ6" i="23"/>
  <c r="T8" i="22"/>
  <c r="V3" i="22"/>
  <c r="AF7" i="21"/>
  <c r="AC5" i="21"/>
  <c r="D3" i="21"/>
  <c r="AI4" i="20"/>
  <c r="AJ3" i="20"/>
  <c r="AR9" i="19"/>
  <c r="N9" i="18"/>
  <c r="AY2" i="17"/>
  <c r="AW8" i="18"/>
  <c r="AP2" i="17"/>
  <c r="I6" i="24"/>
  <c r="BB4" i="23"/>
  <c r="BB5" i="20"/>
  <c r="AH9" i="20"/>
  <c r="K7" i="20"/>
  <c r="AN6" i="15"/>
  <c r="AF7" i="14"/>
  <c r="AK2" i="16"/>
  <c r="U9" i="18"/>
  <c r="BD2" i="17"/>
  <c r="T5" i="14"/>
  <c r="N2" i="18"/>
  <c r="AT5" i="15"/>
  <c r="AR10" i="17"/>
  <c r="S5" i="15"/>
  <c r="V8" i="24"/>
  <c r="AS8" i="19"/>
  <c r="E4" i="20"/>
  <c r="BB9" i="21"/>
  <c r="Z3" i="19"/>
  <c r="AQ3" i="20"/>
  <c r="AC3" i="23"/>
  <c r="AZ6" i="22"/>
  <c r="AQ4" i="21"/>
  <c r="AV10" i="20"/>
  <c r="AE2" i="22"/>
  <c r="AM9" i="20"/>
  <c r="V2" i="19"/>
  <c r="S8" i="17"/>
  <c r="AY7" i="19"/>
  <c r="BB7" i="17"/>
  <c r="W2" i="15"/>
  <c r="N5" i="18"/>
  <c r="AT8" i="15"/>
  <c r="S9" i="25"/>
  <c r="AG10" i="23"/>
  <c r="AI3" i="24"/>
  <c r="V7" i="22"/>
  <c r="Z6" i="24"/>
  <c r="BE2" i="21"/>
  <c r="AE4" i="20"/>
  <c r="AB2" i="20"/>
  <c r="AD10" i="19"/>
  <c r="AO8" i="19"/>
  <c r="AE9" i="22"/>
  <c r="V2" i="22"/>
  <c r="AP4" i="19"/>
  <c r="Z2" i="18"/>
  <c r="N6" i="15"/>
  <c r="Q2" i="18"/>
  <c r="AY5" i="15"/>
  <c r="AV8" i="18"/>
  <c r="AO2" i="17"/>
  <c r="AC4" i="14"/>
  <c r="W2" i="24"/>
  <c r="AK2" i="23"/>
  <c r="AM5" i="23"/>
  <c r="AS9" i="22"/>
  <c r="W7" i="22"/>
  <c r="AY10" i="20"/>
  <c r="AT8" i="20"/>
  <c r="AU7" i="20"/>
  <c r="H6" i="20"/>
  <c r="X8" i="19"/>
  <c r="Y7" i="19"/>
  <c r="P7" i="19"/>
  <c r="BB5" i="18"/>
  <c r="AE2" i="16"/>
  <c r="AQ5" i="18"/>
  <c r="V2" i="16"/>
  <c r="AW3" i="19"/>
  <c r="Z8" i="25"/>
  <c r="AT8" i="24"/>
  <c r="BF2" i="24"/>
  <c r="H8" i="23"/>
  <c r="AB9" i="22"/>
  <c r="O4" i="22"/>
  <c r="E10" i="21"/>
  <c r="AW7" i="21"/>
  <c r="E8" i="23"/>
  <c r="AV8" i="22"/>
  <c r="W5" i="23"/>
  <c r="AK8" i="22"/>
  <c r="Q4" i="22"/>
  <c r="AI10" i="20"/>
  <c r="AN7" i="20"/>
  <c r="AO6" i="20"/>
  <c r="AP5" i="20"/>
  <c r="R7" i="19"/>
  <c r="S6" i="19"/>
  <c r="AX6" i="19"/>
  <c r="AD5" i="18"/>
  <c r="O2" i="16"/>
  <c r="Q5" i="18"/>
  <c r="F2" i="16"/>
  <c r="F3" i="19"/>
  <c r="AM5" i="17"/>
  <c r="AQ8" i="14"/>
  <c r="AJ9" i="24"/>
  <c r="F6" i="23"/>
  <c r="I8" i="23"/>
  <c r="H4" i="23"/>
  <c r="V4" i="22"/>
  <c r="AQ5" i="21"/>
  <c r="O2" i="21"/>
  <c r="AA9" i="20"/>
  <c r="AB8" i="20"/>
  <c r="AR10" i="19"/>
  <c r="D9" i="19"/>
  <c r="E8" i="19"/>
  <c r="V7" i="18"/>
  <c r="AB3" i="16"/>
  <c r="F7" i="18"/>
  <c r="D3" i="16"/>
  <c r="AF7" i="23"/>
  <c r="AW5" i="23"/>
  <c r="AE5" i="21"/>
  <c r="AU9" i="19"/>
  <c r="V8" i="19"/>
  <c r="AY3" i="19"/>
  <c r="O7" i="19"/>
  <c r="R7" i="15"/>
  <c r="AE7" i="18"/>
  <c r="AG3" i="16"/>
  <c r="AE3" i="14"/>
  <c r="AC9" i="17"/>
  <c r="AH3" i="15"/>
  <c r="J9" i="17"/>
  <c r="BG2" i="15"/>
  <c r="AV7" i="18"/>
  <c r="E2" i="17"/>
  <c r="AA7" i="19"/>
  <c r="AN7" i="17"/>
  <c r="Q2" i="15"/>
  <c r="S14" i="8"/>
  <c r="AM6" i="14"/>
  <c r="AF15" i="8"/>
  <c r="W12" i="8"/>
  <c r="U16" i="8"/>
  <c r="D13" i="8"/>
  <c r="AA4" i="15"/>
  <c r="AU3" i="17"/>
  <c r="AI3" i="19"/>
  <c r="AO13" i="8"/>
  <c r="AR4" i="24"/>
  <c r="AT5" i="20"/>
  <c r="T8" i="20"/>
  <c r="M6" i="20"/>
  <c r="AN5" i="15"/>
  <c r="H7" i="14"/>
  <c r="U2" i="16"/>
  <c r="AQ10" i="23"/>
  <c r="AF6" i="21"/>
  <c r="AM6" i="19"/>
  <c r="AR8" i="20"/>
  <c r="AN7" i="21"/>
  <c r="E5" i="29"/>
  <c r="J8" i="24"/>
  <c r="AM8" i="22"/>
  <c r="AZ9" i="20"/>
  <c r="N7" i="20"/>
  <c r="AX8" i="20"/>
  <c r="D6" i="20"/>
  <c r="AG3" i="19"/>
  <c r="F6" i="17"/>
  <c r="I3" i="19"/>
  <c r="AN5" i="17"/>
  <c r="N9" i="14"/>
  <c r="BD2" i="18"/>
  <c r="BB6" i="15"/>
  <c r="J7" i="27"/>
  <c r="R9" i="22"/>
  <c r="T7" i="23"/>
  <c r="P4" i="22"/>
  <c r="AV2" i="24"/>
  <c r="X8" i="20"/>
  <c r="AN10" i="19"/>
  <c r="AS7" i="19"/>
  <c r="AT6" i="19"/>
  <c r="AE3" i="22"/>
  <c r="N10" i="21"/>
  <c r="AH3" i="21"/>
  <c r="X3" i="19"/>
  <c r="AO9" i="17"/>
  <c r="N4" i="15"/>
  <c r="AF9" i="17"/>
  <c r="AY3" i="15"/>
  <c r="E7" i="18"/>
  <c r="BA2" i="16"/>
  <c r="F9" i="25"/>
  <c r="AD10" i="24"/>
  <c r="Q4" i="25"/>
  <c r="AY2" i="23"/>
  <c r="S2" i="25"/>
  <c r="E9" i="21"/>
  <c r="F8" i="20"/>
  <c r="L5" i="20"/>
  <c r="M4" i="20"/>
  <c r="J3" i="20"/>
  <c r="AJ4" i="19"/>
  <c r="AQ8" i="22"/>
  <c r="AZ5" i="19"/>
  <c r="BB3" i="18"/>
  <c r="AZ7" i="15"/>
  <c r="AE3" i="18"/>
  <c r="AQ7" i="15"/>
  <c r="AJ10" i="18"/>
  <c r="O2" i="25"/>
  <c r="AA8" i="23"/>
  <c r="O9" i="23"/>
  <c r="X4" i="23"/>
  <c r="AL5" i="22"/>
  <c r="U8" i="21"/>
  <c r="AE2" i="21"/>
  <c r="BA5" i="25"/>
  <c r="AZ7" i="24"/>
  <c r="K7" i="24"/>
  <c r="AT9" i="22"/>
  <c r="J10" i="24"/>
  <c r="AG6" i="21"/>
  <c r="AY6" i="20"/>
  <c r="AT4" i="20"/>
  <c r="BG2" i="20"/>
  <c r="J2" i="20"/>
  <c r="T4" i="19"/>
  <c r="L5" i="22"/>
  <c r="AJ5" i="19"/>
  <c r="J3" i="18"/>
  <c r="AF7" i="15"/>
  <c r="BE2" i="18"/>
  <c r="S7" i="15"/>
  <c r="P10" i="18"/>
  <c r="AG3" i="17"/>
  <c r="D6" i="14"/>
  <c r="AV7" i="23"/>
  <c r="E8" i="22"/>
  <c r="Y4" i="23"/>
  <c r="AC8" i="22"/>
  <c r="AS3" i="22"/>
  <c r="AK9" i="20"/>
  <c r="AF7" i="20"/>
  <c r="AG6" i="20"/>
  <c r="AR4" i="20"/>
  <c r="J7" i="19"/>
  <c r="K6" i="19"/>
  <c r="AP6" i="19"/>
  <c r="R5" i="18"/>
  <c r="G2" i="16"/>
  <c r="BA4" i="18"/>
  <c r="AN7" i="25"/>
  <c r="J5" i="24"/>
  <c r="AX4" i="23"/>
  <c r="T8" i="19"/>
  <c r="D2" i="21"/>
  <c r="L5" i="19"/>
  <c r="AG7" i="18"/>
  <c r="BB9" i="18"/>
  <c r="T3" i="15"/>
  <c r="AA5" i="18"/>
  <c r="L2" i="16"/>
  <c r="F7" i="19"/>
  <c r="AE7" i="17"/>
  <c r="AM5" i="19"/>
  <c r="BB6" i="17"/>
  <c r="AN10" i="14"/>
  <c r="AT5" i="18"/>
  <c r="Y2" i="16"/>
  <c r="BA2" i="19"/>
  <c r="AD5" i="17"/>
  <c r="BB8" i="14"/>
  <c r="C13" i="8"/>
  <c r="V2" i="14"/>
  <c r="P14" i="8"/>
  <c r="AU4" i="14"/>
  <c r="E15" i="8"/>
  <c r="AS10" i="23"/>
  <c r="O4" i="14"/>
  <c r="AY6" i="23"/>
  <c r="AS9" i="20"/>
  <c r="AQ2" i="19"/>
  <c r="AZ4" i="20"/>
  <c r="V10" i="20"/>
  <c r="AP2" i="37"/>
  <c r="AS6" i="23"/>
  <c r="U3" i="21"/>
  <c r="AJ2" i="20"/>
  <c r="AM9" i="19"/>
  <c r="E6" i="20"/>
  <c r="W2" i="20"/>
  <c r="AD10" i="18"/>
  <c r="BA3" i="17"/>
  <c r="Q10" i="18"/>
  <c r="AH3" i="17"/>
  <c r="AD6" i="14"/>
  <c r="AG10" i="17"/>
  <c r="AX4" i="15"/>
  <c r="Y9" i="25"/>
  <c r="AO5" i="24"/>
  <c r="AJ3" i="23"/>
  <c r="AI6" i="24"/>
  <c r="D9" i="23"/>
  <c r="AN4" i="20"/>
  <c r="E7" i="19"/>
  <c r="AY4" i="19"/>
  <c r="BF2" i="19"/>
  <c r="D6" i="21"/>
  <c r="AQ3" i="21"/>
  <c r="AO8" i="20"/>
  <c r="D8" i="19"/>
  <c r="D8" i="17"/>
  <c r="S7" i="19"/>
  <c r="AH7" i="17"/>
  <c r="O2" i="15"/>
  <c r="AZ4" i="18"/>
  <c r="AH8" i="15"/>
  <c r="AZ5" i="26"/>
  <c r="Y10" i="23"/>
  <c r="K2" i="24"/>
  <c r="L7" i="22"/>
  <c r="R6" i="24"/>
  <c r="I2" i="21"/>
  <c r="W4" i="20"/>
  <c r="T2" i="20"/>
  <c r="AF9" i="19"/>
  <c r="AG8" i="19"/>
  <c r="AU8" i="22"/>
  <c r="AW9" i="21"/>
  <c r="AH4" i="19"/>
  <c r="R2" i="18"/>
  <c r="AZ5" i="15"/>
  <c r="I2" i="18"/>
  <c r="AM5" i="15"/>
  <c r="AJ8" i="18"/>
  <c r="AH10" i="23"/>
  <c r="E9" i="22"/>
  <c r="AE5" i="23"/>
  <c r="AK9" i="22"/>
  <c r="AG4" i="22"/>
  <c r="AQ10" i="20"/>
  <c r="AL8" i="20"/>
  <c r="T4" i="25"/>
  <c r="AE7" i="23"/>
  <c r="N10" i="23"/>
  <c r="E6" i="22"/>
  <c r="L5" i="24"/>
  <c r="AR10" i="20"/>
  <c r="Q3" i="20"/>
  <c r="O10" i="19"/>
  <c r="P9" i="19"/>
  <c r="S8" i="22"/>
  <c r="M5" i="22"/>
  <c r="F9" i="21"/>
  <c r="R4" i="19"/>
  <c r="BA10" i="17"/>
  <c r="AB5" i="15"/>
  <c r="AH10" i="17"/>
  <c r="M5" i="15"/>
  <c r="N8" i="18"/>
  <c r="Q2" i="17"/>
  <c r="AE4" i="25"/>
  <c r="R5" i="24"/>
  <c r="BA6" i="24"/>
  <c r="AL9" i="22"/>
  <c r="E8" i="24"/>
  <c r="T6" i="21"/>
  <c r="AQ6" i="20"/>
  <c r="AV3" i="20"/>
  <c r="AY2" i="20"/>
  <c r="BA10" i="19"/>
  <c r="R3" i="19"/>
  <c r="AL4" i="22"/>
  <c r="AB5" i="19"/>
  <c r="BF2" i="18"/>
  <c r="T7" i="15"/>
  <c r="AW2" i="18"/>
  <c r="AH2" i="25"/>
  <c r="M4" i="23"/>
  <c r="AY7" i="23"/>
  <c r="R10" i="20"/>
  <c r="I2" i="20"/>
  <c r="AO4" i="19"/>
  <c r="AG2" i="18"/>
  <c r="AD6" i="18"/>
  <c r="AE9" i="14"/>
  <c r="F3" i="18"/>
  <c r="AC7" i="15"/>
  <c r="AR2" i="19"/>
  <c r="S5" i="17"/>
  <c r="L2" i="19"/>
  <c r="AR4" i="17"/>
  <c r="E8" i="14"/>
  <c r="AH3" i="18"/>
  <c r="AT7" i="15"/>
  <c r="F10" i="18"/>
  <c r="AB3" i="17"/>
  <c r="H6" i="14"/>
  <c r="AU10" i="14"/>
  <c r="I16" i="8"/>
  <c r="AV12" i="8"/>
  <c r="K2" i="14"/>
  <c r="AK13" i="8"/>
  <c r="J8" i="22"/>
  <c r="AY3" i="17"/>
  <c r="AO2" i="19"/>
  <c r="H6" i="17"/>
  <c r="AM16" i="8"/>
  <c r="AP4" i="23"/>
  <c r="L8" i="19"/>
  <c r="AU10" i="20"/>
  <c r="Z4" i="19"/>
  <c r="AQ6" i="18"/>
  <c r="AH9" i="18"/>
  <c r="E3" i="15"/>
  <c r="AJ8" i="22"/>
  <c r="Y3" i="20"/>
  <c r="F6" i="21"/>
  <c r="AY8" i="22"/>
  <c r="AZ3" i="20"/>
  <c r="Z9" i="24"/>
  <c r="AW3" i="24"/>
  <c r="F2" i="20"/>
  <c r="I7" i="22"/>
  <c r="AM10" i="20"/>
  <c r="X2" i="20"/>
  <c r="AT8" i="19"/>
  <c r="AD8" i="18"/>
  <c r="AA2" i="17"/>
  <c r="Q8" i="18"/>
  <c r="R2" i="17"/>
  <c r="F4" i="14"/>
  <c r="D9" i="17"/>
  <c r="AT2" i="15"/>
  <c r="AX5" i="27"/>
  <c r="AZ4" i="23"/>
  <c r="AR7" i="24"/>
  <c r="BE2" i="24"/>
  <c r="U5" i="23"/>
  <c r="AW10" i="19"/>
  <c r="AB2" i="23"/>
  <c r="AC6" i="22"/>
  <c r="I4" i="22"/>
  <c r="AO9" i="20"/>
  <c r="AP8" i="20"/>
  <c r="AU5" i="20"/>
  <c r="L3" i="19"/>
  <c r="AQ5" i="17"/>
  <c r="AW2" i="19"/>
  <c r="V5" i="17"/>
  <c r="AR8" i="14"/>
  <c r="AV2" i="18"/>
  <c r="AJ6" i="15"/>
  <c r="K3" i="27"/>
  <c r="Z8" i="22"/>
  <c r="L7" i="23"/>
  <c r="BC2" i="25"/>
  <c r="AN2" i="24"/>
  <c r="P8" i="20"/>
  <c r="AP9" i="19"/>
  <c r="AK7" i="19"/>
  <c r="AL6" i="19"/>
  <c r="X2" i="22"/>
  <c r="AX9" i="21"/>
  <c r="V3" i="21"/>
  <c r="N3" i="19"/>
  <c r="AG9" i="17"/>
  <c r="AZ3" i="15"/>
  <c r="X9" i="17"/>
  <c r="AC3" i="15"/>
  <c r="AN4" i="25"/>
  <c r="AF9" i="24"/>
  <c r="AT9" i="24"/>
  <c r="BB9" i="22"/>
  <c r="AL10" i="24"/>
  <c r="AH8" i="21"/>
  <c r="I7" i="20"/>
  <c r="BB4" i="20"/>
  <c r="S2" i="27"/>
  <c r="AJ5" i="22"/>
  <c r="E6" i="23"/>
  <c r="AP10" i="24"/>
  <c r="AI10" i="23"/>
  <c r="J7" i="20"/>
  <c r="Z9" i="19"/>
  <c r="AE6" i="19"/>
  <c r="AF5" i="19"/>
  <c r="H2" i="22"/>
  <c r="AB7" i="21"/>
  <c r="J2" i="21"/>
  <c r="BB2" i="19"/>
  <c r="Q9" i="17"/>
  <c r="H3" i="15"/>
  <c r="E9" i="17"/>
  <c r="BC2" i="15"/>
  <c r="N6" i="18"/>
  <c r="AC2" i="16"/>
  <c r="AF3" i="25"/>
  <c r="AO6" i="23"/>
  <c r="AP8" i="23"/>
  <c r="AV5" i="22"/>
  <c r="BB4" i="24"/>
  <c r="AT9" i="20"/>
  <c r="D3" i="20"/>
  <c r="F10" i="19"/>
  <c r="R8" i="19"/>
  <c r="AI7" i="22"/>
  <c r="AM4" i="22"/>
  <c r="AX6" i="21"/>
  <c r="E4" i="19"/>
  <c r="AM10" i="17"/>
  <c r="N5" i="15"/>
  <c r="T10" i="17"/>
  <c r="O5" i="26"/>
  <c r="AZ9" i="24"/>
  <c r="H8" i="24"/>
  <c r="O6" i="19"/>
  <c r="BD2" i="19"/>
  <c r="AT7" i="18"/>
  <c r="T6" i="17"/>
  <c r="H3" i="18"/>
  <c r="AA5" i="14"/>
  <c r="AT10" i="17"/>
  <c r="U5" i="15"/>
  <c r="AX9" i="18"/>
  <c r="S3" i="17"/>
  <c r="S9" i="18"/>
  <c r="BB2" i="17"/>
  <c r="R5" i="14"/>
  <c r="L2" i="18"/>
  <c r="AR5" i="15"/>
  <c r="D8" i="18"/>
  <c r="L2" i="17"/>
  <c r="AY3" i="14"/>
  <c r="BH2" i="14"/>
  <c r="AO14" i="8"/>
  <c r="F9" i="14"/>
  <c r="AL15" i="8"/>
  <c r="U12" i="8"/>
  <c r="I9" i="19"/>
  <c r="AS10" i="14"/>
  <c r="M2" i="18"/>
  <c r="AW3" i="14"/>
  <c r="AY9" i="19"/>
  <c r="AC5" i="17"/>
  <c r="AF2" i="24"/>
  <c r="F4" i="23"/>
  <c r="T2" i="19"/>
  <c r="AR8" i="23"/>
  <c r="AZ2" i="21"/>
  <c r="AG6" i="22"/>
  <c r="E7" i="17"/>
  <c r="AC7" i="17"/>
  <c r="AA4" i="14"/>
  <c r="F13" i="8"/>
  <c r="T8" i="15"/>
  <c r="Z15" i="8"/>
  <c r="I5" i="23"/>
  <c r="Q5" i="19"/>
  <c r="AU8" i="19"/>
  <c r="AE3" i="19"/>
  <c r="AN2" i="18"/>
  <c r="O5" i="19"/>
  <c r="AR6" i="17"/>
  <c r="AD10" i="14"/>
  <c r="AH5" i="18"/>
  <c r="S2" i="16"/>
  <c r="F5" i="18"/>
  <c r="BA8" i="15"/>
  <c r="Q6" i="19"/>
  <c r="Q7" i="17"/>
  <c r="BA10" i="14"/>
  <c r="AG3" i="18"/>
  <c r="AS7" i="15"/>
  <c r="AP3" i="14"/>
  <c r="B15" i="8"/>
  <c r="X2" i="15"/>
  <c r="O16" i="8"/>
  <c r="AT12" i="8"/>
  <c r="AR16" i="8"/>
  <c r="R2" i="20"/>
  <c r="AW7" i="15"/>
  <c r="AQ9" i="17"/>
  <c r="I15" i="8"/>
  <c r="E2" i="20"/>
  <c r="U3" i="17"/>
  <c r="U6" i="19"/>
  <c r="AI6" i="23"/>
  <c r="J8" i="19"/>
  <c r="AM8" i="19"/>
  <c r="F5" i="17"/>
  <c r="AC6" i="15"/>
  <c r="U5" i="17"/>
  <c r="AC4" i="19"/>
  <c r="AD6" i="17"/>
  <c r="H10" i="14"/>
  <c r="V5" i="18"/>
  <c r="K2" i="16"/>
  <c r="AW4" i="18"/>
  <c r="AQ8" i="15"/>
  <c r="AI5" i="19"/>
  <c r="BA6" i="17"/>
  <c r="AM10" i="14"/>
  <c r="M3" i="18"/>
  <c r="AG7" i="15"/>
  <c r="V3" i="14"/>
  <c r="AP14" i="8"/>
  <c r="AG10" i="14"/>
  <c r="G16" i="8"/>
  <c r="AL12" i="8"/>
  <c r="AJ16" i="8"/>
  <c r="AD9" i="17"/>
  <c r="AU7" i="15"/>
  <c r="T8" i="17"/>
  <c r="N3" i="14"/>
  <c r="E2" i="21"/>
  <c r="AU9" i="17"/>
  <c r="V8" i="14"/>
  <c r="BI2" i="26"/>
  <c r="U2" i="22"/>
  <c r="V9" i="21"/>
  <c r="U6" i="21"/>
  <c r="W2" i="16"/>
  <c r="AT10" i="14"/>
  <c r="Y2" i="17"/>
  <c r="AI10" i="18"/>
  <c r="H4" i="17"/>
  <c r="E7" i="14"/>
  <c r="BB2" i="18"/>
  <c r="N7" i="15"/>
  <c r="AK2" i="18"/>
  <c r="AG6" i="15"/>
  <c r="BB10" i="18"/>
  <c r="AC4" i="17"/>
  <c r="AM7" i="14"/>
  <c r="AN10" i="17"/>
  <c r="Q5" i="15"/>
  <c r="AA16" i="8"/>
  <c r="R13" i="8"/>
  <c r="AO2" i="14"/>
  <c r="AE14" i="8"/>
  <c r="BA5" i="14"/>
  <c r="L15" i="8"/>
  <c r="H2" i="17"/>
  <c r="R3" i="17"/>
  <c r="AX9" i="17"/>
  <c r="V13" i="8"/>
  <c r="AF2" i="20"/>
  <c r="AE10" i="14"/>
  <c r="AK9" i="17"/>
  <c r="V5" i="24"/>
  <c r="D5" i="22"/>
  <c r="M7" i="20"/>
  <c r="E3" i="19"/>
  <c r="AQ4" i="18"/>
  <c r="AZ7" i="18"/>
  <c r="V2" i="15"/>
  <c r="AQ8" i="17"/>
  <c r="AU9" i="22"/>
  <c r="AG2" i="19"/>
  <c r="R7" i="20"/>
  <c r="AI9" i="19"/>
  <c r="AW4" i="17"/>
  <c r="AA2" i="25"/>
  <c r="N10" i="20"/>
  <c r="S10" i="23"/>
  <c r="AR10" i="14"/>
  <c r="Q3" i="17"/>
  <c r="AI15" i="8"/>
  <c r="AX2" i="14"/>
  <c r="F2" i="17"/>
  <c r="AP12" i="8"/>
  <c r="BA6" i="23"/>
  <c r="S9" i="20"/>
  <c r="AE9" i="21"/>
  <c r="AX10" i="17"/>
  <c r="W9" i="17"/>
  <c r="F2" i="19"/>
  <c r="AF4" i="17"/>
  <c r="AP7" i="14"/>
  <c r="T3" i="18"/>
  <c r="AN7" i="15"/>
  <c r="BA2" i="18"/>
  <c r="M7" i="15"/>
  <c r="W2" i="19"/>
  <c r="AY4" i="17"/>
  <c r="S8" i="14"/>
  <c r="K2" i="18"/>
  <c r="AQ5" i="15"/>
  <c r="AQ16" i="8"/>
  <c r="AH13" i="8"/>
  <c r="Q3" i="14"/>
  <c r="AU14" i="8"/>
  <c r="AM8" i="14"/>
  <c r="AB15" i="8"/>
  <c r="L9" i="19"/>
  <c r="W3" i="19"/>
  <c r="U2" i="17"/>
  <c r="M2" i="14"/>
  <c r="AP2" i="19"/>
  <c r="AM5" i="14"/>
  <c r="Q10" i="27"/>
  <c r="AC2" i="22"/>
  <c r="Y2" i="22"/>
  <c r="AH6" i="21"/>
  <c r="BC2" i="16"/>
  <c r="AE2" i="15"/>
  <c r="AG2" i="17"/>
  <c r="AW10" i="18"/>
  <c r="T4" i="17"/>
  <c r="AD7" i="14"/>
  <c r="E3" i="18"/>
  <c r="AB7" i="15"/>
  <c r="AS2" i="18"/>
  <c r="AW6" i="15"/>
  <c r="K2" i="19"/>
  <c r="AQ4" i="17"/>
  <c r="D8" i="14"/>
  <c r="BB10" i="17"/>
  <c r="AC5" i="15"/>
  <c r="AI16" i="8"/>
  <c r="Z13" i="8"/>
  <c r="BE2" i="14"/>
  <c r="AM14" i="8"/>
  <c r="AC7" i="14"/>
  <c r="T15" i="8"/>
  <c r="AB2" i="16"/>
  <c r="AH8" i="14"/>
  <c r="AC8" i="15"/>
  <c r="AG7" i="14"/>
  <c r="S2" i="21"/>
  <c r="AD7" i="15"/>
  <c r="AH5" i="14"/>
  <c r="O6" i="24"/>
  <c r="N2" i="20"/>
  <c r="AX5" i="20"/>
  <c r="AA3" i="20"/>
  <c r="AN4" i="15"/>
  <c r="AB5" i="14"/>
  <c r="E2" i="16"/>
  <c r="AI8" i="18"/>
  <c r="AF2" i="17"/>
  <c r="AB4" i="14"/>
  <c r="AE10" i="17"/>
  <c r="E5" i="15"/>
  <c r="AZ9" i="17"/>
  <c r="AE4" i="15"/>
  <c r="BB8" i="18"/>
  <c r="AS2" i="17"/>
  <c r="AY4" i="14"/>
  <c r="H9" i="17"/>
  <c r="BE2" i="15"/>
  <c r="K15" i="8"/>
  <c r="B12" i="8"/>
  <c r="X16" i="8"/>
  <c r="O13" i="8"/>
  <c r="R2" i="14"/>
  <c r="AR13" i="8"/>
  <c r="M2" i="15"/>
  <c r="AS5" i="15"/>
  <c r="AV2" i="16"/>
  <c r="E14" i="8"/>
  <c r="T5" i="19"/>
  <c r="AC2" i="19"/>
  <c r="O2" i="17"/>
  <c r="AL8" i="22"/>
  <c r="AN3" i="20"/>
  <c r="AZ6" i="19"/>
  <c r="AN10" i="18"/>
  <c r="P9" i="17"/>
  <c r="AN4" i="18"/>
  <c r="AQ7" i="14"/>
  <c r="AE2" i="18"/>
  <c r="U6" i="15"/>
  <c r="AT10" i="18"/>
  <c r="S4" i="17"/>
  <c r="U10" i="18"/>
  <c r="AR3" i="17"/>
  <c r="AH6" i="14"/>
  <c r="AR2" i="18"/>
  <c r="AR6" i="15"/>
  <c r="BA8" i="18"/>
  <c r="AR2" i="17"/>
  <c r="AV4" i="14"/>
  <c r="AC5" i="14"/>
  <c r="AL2" i="15"/>
  <c r="F6" i="22"/>
  <c r="E5" i="17"/>
  <c r="AH9" i="19"/>
  <c r="AM5" i="22"/>
  <c r="H2" i="19"/>
  <c r="M5" i="24"/>
  <c r="S7" i="20"/>
  <c r="AT10" i="19"/>
  <c r="AX5" i="18"/>
  <c r="J2" i="15"/>
  <c r="J15" i="8"/>
  <c r="I2" i="14"/>
  <c r="K2" i="15"/>
  <c r="AV15" i="8"/>
  <c r="AQ7" i="24"/>
  <c r="X9" i="19"/>
  <c r="AV7" i="19"/>
  <c r="E6" i="17"/>
  <c r="D6" i="17"/>
  <c r="F9" i="18"/>
  <c r="AV2" i="17"/>
  <c r="BB4" i="14"/>
  <c r="F2" i="18"/>
  <c r="AF5" i="15"/>
  <c r="AD10" i="17"/>
  <c r="D5" i="15"/>
  <c r="AD9" i="18"/>
  <c r="D3" i="17"/>
  <c r="AE5" i="14"/>
  <c r="Z9" i="17"/>
  <c r="AE3" i="15"/>
  <c r="AA15" i="8"/>
  <c r="R12" i="8"/>
  <c r="AN16" i="8"/>
  <c r="AE13" i="8"/>
  <c r="AH2" i="14"/>
  <c r="L14" i="8"/>
  <c r="AF3" i="18"/>
  <c r="AS9" i="17"/>
  <c r="Z2" i="15"/>
  <c r="W15" i="8"/>
  <c r="S4" i="20"/>
  <c r="AM5" i="18"/>
  <c r="D4" i="23"/>
  <c r="E3" i="20"/>
  <c r="V7" i="20"/>
  <c r="AO4" i="20"/>
  <c r="AZ4" i="15"/>
  <c r="AR6" i="14"/>
  <c r="M2" i="16"/>
  <c r="AU8" i="18"/>
  <c r="AN2" i="17"/>
  <c r="AN4" i="14"/>
  <c r="AS10" i="17"/>
  <c r="T5" i="15"/>
  <c r="N10" i="17"/>
  <c r="AS4" i="15"/>
  <c r="P9" i="18"/>
  <c r="BA2" i="17"/>
  <c r="Q5" i="14"/>
  <c r="R9" i="17"/>
  <c r="I3" i="15"/>
  <c r="S15" i="8"/>
  <c r="J12" i="8"/>
  <c r="AF16" i="8"/>
  <c r="W13" i="8"/>
  <c r="Z2" i="14"/>
  <c r="D14" i="8"/>
  <c r="AN8" i="14"/>
  <c r="T10" i="18"/>
  <c r="BG2" i="14"/>
  <c r="F12" i="8"/>
  <c r="BB8" i="19"/>
  <c r="H4" i="15"/>
  <c r="N10" i="18"/>
  <c r="P6" i="22"/>
  <c r="U9" i="20"/>
  <c r="W4" i="22"/>
  <c r="H7" i="19"/>
  <c r="AM10" i="18"/>
  <c r="AA3" i="19"/>
  <c r="AH5" i="15"/>
  <c r="AM6" i="18"/>
  <c r="AZ2" i="16"/>
  <c r="F3" i="14"/>
  <c r="BA8" i="17"/>
  <c r="AZ2" i="15"/>
  <c r="V8" i="17"/>
  <c r="AI2" i="15"/>
  <c r="N7" i="18"/>
  <c r="H3" i="16"/>
  <c r="AE5" i="19"/>
  <c r="AX6" i="17"/>
  <c r="AH10" i="14"/>
  <c r="AQ13" i="8"/>
  <c r="AJ3" i="14"/>
  <c r="H15" i="8"/>
  <c r="P2" i="15"/>
  <c r="AS15" i="8"/>
  <c r="AB12" i="8"/>
  <c r="V10" i="18"/>
  <c r="AK2" i="14"/>
  <c r="AH9" i="14"/>
  <c r="AJ14" i="8"/>
  <c r="AA7" i="17"/>
  <c r="AC3" i="18"/>
  <c r="E4" i="15"/>
  <c r="AB10" i="23"/>
  <c r="J2" i="22"/>
  <c r="AF9" i="21"/>
  <c r="BB4" i="18"/>
  <c r="AZ3" i="17"/>
  <c r="H2" i="18"/>
  <c r="AV3" i="14"/>
  <c r="AT9" i="17"/>
  <c r="U4" i="15"/>
  <c r="AT8" i="18"/>
  <c r="AM2" i="17"/>
  <c r="U8" i="18"/>
  <c r="V2" i="17"/>
  <c r="K4" i="14"/>
  <c r="M10" i="17"/>
  <c r="AP5" i="27"/>
  <c r="AG2" i="22"/>
  <c r="AD8" i="14"/>
  <c r="AC7" i="19"/>
  <c r="T3" i="22"/>
  <c r="AH4" i="17"/>
  <c r="AQ6" i="23"/>
  <c r="AA5" i="19"/>
  <c r="K10" i="19"/>
  <c r="AA2" i="16"/>
  <c r="AY5" i="14"/>
  <c r="Z12" i="8"/>
  <c r="T14" i="8"/>
  <c r="AO2" i="16"/>
  <c r="AA2" i="14"/>
  <c r="BF2" i="23"/>
  <c r="AY4" i="22"/>
  <c r="D4" i="19"/>
  <c r="BB2" i="16"/>
  <c r="BE2" i="17"/>
  <c r="S7" i="18"/>
  <c r="S3" i="16"/>
  <c r="W3" i="14"/>
  <c r="U9" i="17"/>
  <c r="N3" i="15"/>
  <c r="AX8" i="17"/>
  <c r="AY2" i="15"/>
  <c r="AN7" i="18"/>
  <c r="AR3" i="16"/>
  <c r="AS6" i="19"/>
  <c r="AB7" i="17"/>
  <c r="I2" i="15"/>
  <c r="K14" i="8"/>
  <c r="S5" i="14"/>
  <c r="X15" i="8"/>
  <c r="O12" i="8"/>
  <c r="M16" i="8"/>
  <c r="AR12" i="8"/>
  <c r="AM8" i="18"/>
  <c r="T6" i="15"/>
  <c r="AG6" i="18"/>
  <c r="AL14" i="8"/>
  <c r="Y8" i="20"/>
  <c r="T7" i="17"/>
  <c r="X6" i="22"/>
  <c r="AC9" i="20"/>
  <c r="AY6" i="22"/>
  <c r="AN7" i="19"/>
  <c r="Q2" i="19"/>
  <c r="AY5" i="19"/>
  <c r="H6" i="15"/>
  <c r="D7" i="18"/>
  <c r="BH2" i="16"/>
  <c r="O3" i="14"/>
  <c r="M9" i="17"/>
  <c r="BH2" i="15"/>
  <c r="AH8" i="17"/>
  <c r="AQ2" i="15"/>
  <c r="AB7" i="18"/>
  <c r="AD3" i="16"/>
  <c r="M6" i="19"/>
  <c r="N7" i="17"/>
  <c r="AV10" i="14"/>
  <c r="C14" i="8"/>
  <c r="L4" i="14"/>
  <c r="P15" i="8"/>
  <c r="G12" i="8"/>
  <c r="E16" i="8"/>
  <c r="AJ12" i="8"/>
  <c r="V6" i="18"/>
  <c r="AB2" i="18"/>
  <c r="S13" i="8"/>
  <c r="Q7" i="14"/>
  <c r="AX2" i="18"/>
  <c r="AC6" i="19"/>
  <c r="V2" i="18"/>
  <c r="Z8" i="24"/>
  <c r="X4" i="19"/>
  <c r="K8" i="20"/>
  <c r="AN3" i="19"/>
  <c r="AC5" i="18"/>
  <c r="AB8" i="18"/>
  <c r="AD2" i="15"/>
  <c r="AM4" i="18"/>
  <c r="AG8" i="15"/>
  <c r="K5" i="19"/>
  <c r="AQ6" i="17"/>
  <c r="AO3" i="19"/>
  <c r="N6" i="17"/>
  <c r="AN9" i="14"/>
  <c r="E5" i="18"/>
  <c r="AX8" i="15"/>
  <c r="J2" i="19"/>
  <c r="AN4" i="17"/>
  <c r="BB7" i="14"/>
  <c r="AA12" i="8"/>
  <c r="AW16" i="8"/>
  <c r="AN13" i="8"/>
  <c r="L3" i="14"/>
  <c r="AC14" i="8"/>
  <c r="AG4" i="21"/>
  <c r="AD2" i="18"/>
  <c r="T4" i="18"/>
  <c r="D7" i="14"/>
  <c r="S5" i="24"/>
  <c r="D6" i="19"/>
  <c r="BB4" i="17"/>
  <c r="AO7" i="18"/>
  <c r="AP7" i="24"/>
  <c r="AI5" i="20"/>
  <c r="N6" i="20"/>
  <c r="Y9" i="17"/>
  <c r="AU8" i="15"/>
  <c r="Q8" i="17"/>
  <c r="AN2" i="14"/>
  <c r="N8" i="17"/>
  <c r="AC2" i="15"/>
  <c r="BB6" i="18"/>
  <c r="BG2" i="16"/>
  <c r="U6" i="18"/>
  <c r="AP2" i="16"/>
  <c r="BA2" i="14"/>
  <c r="AG8" i="17"/>
  <c r="AP2" i="15"/>
  <c r="D5" i="18"/>
  <c r="AW8" i="15"/>
  <c r="AQ9" i="14"/>
  <c r="AJ4" i="23"/>
  <c r="AG9" i="20"/>
  <c r="AA2" i="27"/>
  <c r="R2" i="27"/>
  <c r="Q2" i="22"/>
  <c r="AR7" i="14"/>
  <c r="R3" i="20"/>
  <c r="AW6" i="17"/>
  <c r="AG6" i="17"/>
  <c r="U5" i="18"/>
  <c r="D4" i="18"/>
  <c r="I12" i="8"/>
  <c r="I8" i="22"/>
  <c r="AI2" i="18"/>
  <c r="Z3" i="14"/>
  <c r="U9" i="23"/>
  <c r="Y8" i="19"/>
  <c r="H7" i="18"/>
  <c r="AM6" i="15"/>
  <c r="V6" i="15"/>
  <c r="M5" i="18"/>
  <c r="D2" i="16"/>
  <c r="Y6" i="19"/>
  <c r="S7" i="17"/>
  <c r="F5" i="19"/>
  <c r="AN6" i="17"/>
  <c r="AB10" i="14"/>
  <c r="AF5" i="18"/>
  <c r="Q2" i="16"/>
  <c r="AK2" i="19"/>
  <c r="H5" i="17"/>
  <c r="AF8" i="14"/>
  <c r="AQ12" i="8"/>
  <c r="N2" i="14"/>
  <c r="H14" i="8"/>
  <c r="AX3" i="14"/>
  <c r="AS14" i="8"/>
  <c r="AH4" i="25"/>
  <c r="AF9" i="14"/>
  <c r="AW5" i="18"/>
  <c r="AB2" i="17"/>
  <c r="U15" i="8"/>
  <c r="AN8" i="18"/>
  <c r="AG5" i="15"/>
  <c r="AT10" i="24"/>
  <c r="AF4" i="19"/>
  <c r="Y9" i="20"/>
  <c r="AV3" i="19"/>
  <c r="AE6" i="18"/>
  <c r="V9" i="18"/>
  <c r="BB2" i="15"/>
  <c r="AY4" i="18"/>
  <c r="AS8" i="15"/>
  <c r="AQ5" i="19"/>
  <c r="D7" i="17"/>
  <c r="U4" i="19"/>
  <c r="AB6" i="17"/>
  <c r="E10" i="14"/>
  <c r="T5" i="18"/>
  <c r="I2" i="16"/>
  <c r="U2" i="19"/>
  <c r="AX4" i="17"/>
  <c r="R8" i="14"/>
  <c r="AI12" i="8"/>
  <c r="F2" i="14"/>
  <c r="AV13" i="8"/>
  <c r="AB3" i="14"/>
  <c r="AK14" i="8"/>
  <c r="AB4" i="19"/>
  <c r="BA5" i="17"/>
  <c r="AQ3" i="17"/>
  <c r="J14" i="8"/>
  <c r="T13" i="8"/>
  <c r="AC8" i="18"/>
  <c r="AQ7" i="18"/>
  <c r="AE3" i="17"/>
  <c r="I4" i="23"/>
  <c r="Z6" i="20"/>
  <c r="P8" i="19"/>
  <c r="AZ10" i="18"/>
  <c r="AV9" i="17"/>
  <c r="AB5" i="18"/>
  <c r="O8" i="14"/>
  <c r="AM2" i="18"/>
  <c r="AI6" i="15"/>
  <c r="E2" i="19"/>
  <c r="AE4" i="17"/>
  <c r="AG10" i="18"/>
  <c r="E4" i="17"/>
  <c r="BB6" i="14"/>
  <c r="AZ2" i="18"/>
  <c r="H7" i="15"/>
  <c r="O9" i="18"/>
  <c r="AZ2" i="17"/>
  <c r="H5" i="14"/>
  <c r="AU6" i="14"/>
  <c r="AG15" i="8"/>
  <c r="X12" i="8"/>
  <c r="AD16" i="8"/>
  <c r="M13" i="8"/>
  <c r="R8" i="17"/>
  <c r="W2" i="17"/>
  <c r="AS5" i="17"/>
  <c r="C12" i="8"/>
  <c r="AF4" i="22"/>
  <c r="AO2" i="18"/>
  <c r="T2" i="16"/>
  <c r="E2" i="18"/>
  <c r="BE2" i="23"/>
  <c r="AN5" i="19"/>
  <c r="M5" i="19"/>
  <c r="AR6" i="24"/>
  <c r="AH8" i="20"/>
  <c r="R8" i="22"/>
  <c r="Y9" i="22"/>
  <c r="AA8" i="20"/>
  <c r="X2" i="18"/>
  <c r="AH5" i="19"/>
  <c r="AK4" i="19"/>
  <c r="D7" i="15"/>
  <c r="J2" i="16"/>
  <c r="AH9" i="17"/>
  <c r="AV16" i="8"/>
  <c r="AR7" i="15"/>
  <c r="AE6" i="15"/>
  <c r="AK12" i="8"/>
  <c r="E4" i="22"/>
  <c r="AT9" i="19"/>
  <c r="J2" i="18"/>
  <c r="AM2" i="15"/>
  <c r="M9" i="14"/>
  <c r="BC2" i="18"/>
  <c r="Q7" i="15"/>
  <c r="AB2" i="19"/>
  <c r="BA4" i="17"/>
  <c r="D2" i="19"/>
  <c r="AD4" i="17"/>
  <c r="AN7" i="14"/>
  <c r="N3" i="18"/>
  <c r="AH7" i="15"/>
  <c r="AQ9" i="18"/>
  <c r="N3" i="17"/>
  <c r="AR5" i="14"/>
  <c r="AG9" i="14"/>
  <c r="AW15" i="8"/>
  <c r="AN12" i="8"/>
  <c r="AT16" i="8"/>
  <c r="AC13" i="8"/>
  <c r="AR6" i="23"/>
  <c r="AH3" i="16"/>
  <c r="Z2" i="16"/>
  <c r="AG2" i="15"/>
  <c r="D16" i="8"/>
  <c r="E7" i="15"/>
  <c r="BH2" i="19"/>
  <c r="Q4" i="23"/>
  <c r="X7" i="20"/>
  <c r="AL9" i="19"/>
  <c r="AJ2" i="19"/>
  <c r="E10" i="17"/>
  <c r="AN5" i="18"/>
  <c r="AC8" i="14"/>
  <c r="AU2" i="18"/>
  <c r="BA6" i="15"/>
  <c r="M2" i="19"/>
  <c r="AS4" i="17"/>
  <c r="AS10" i="18"/>
  <c r="R4" i="17"/>
  <c r="T7" i="14"/>
  <c r="BH2" i="18"/>
  <c r="V7" i="15"/>
  <c r="AC9" i="18"/>
  <c r="BH2" i="17"/>
  <c r="AD5" i="14"/>
  <c r="Q8" i="14"/>
  <c r="AO15" i="8"/>
  <c r="AF12" i="8"/>
  <c r="AL16" i="8"/>
  <c r="U13" i="8"/>
  <c r="I3" i="18"/>
  <c r="AQ2" i="16"/>
  <c r="R8" i="15"/>
  <c r="AP2" i="14"/>
  <c r="T2" i="24"/>
  <c r="AE7" i="15"/>
  <c r="V9" i="17"/>
  <c r="E6" i="15"/>
  <c r="F4" i="24"/>
  <c r="S2" i="19"/>
  <c r="AM2" i="22"/>
  <c r="AR5" i="18"/>
  <c r="J4" i="17"/>
  <c r="P2" i="18"/>
  <c r="E4" i="14"/>
  <c r="BB9" i="17"/>
  <c r="AG4" i="15"/>
  <c r="E9" i="18"/>
  <c r="AU2" i="17"/>
  <c r="AG8" i="18"/>
  <c r="AD2" i="17"/>
  <c r="T4" i="14"/>
  <c r="AC10" i="17"/>
  <c r="BB4" i="15"/>
  <c r="AA7" i="18"/>
  <c r="AC3" i="16"/>
  <c r="AA3" i="14"/>
  <c r="W2" i="14"/>
  <c r="Q14" i="8"/>
  <c r="BA4" i="14"/>
  <c r="N15" i="8"/>
  <c r="H2" i="15"/>
  <c r="D10" i="17"/>
  <c r="BA6" i="19"/>
  <c r="R4" i="15"/>
  <c r="Y16" i="8"/>
  <c r="L2" i="22"/>
  <c r="F3" i="15"/>
  <c r="E2" i="15"/>
  <c r="Q2" i="25"/>
  <c r="AR5" i="21"/>
  <c r="AX8" i="21"/>
  <c r="R2" i="21"/>
  <c r="AV8" i="15"/>
  <c r="R10" i="14"/>
  <c r="I2" i="17"/>
  <c r="AW2" i="24"/>
  <c r="AW4" i="20"/>
  <c r="N6" i="23"/>
  <c r="AB6" i="24"/>
  <c r="AB7" i="20"/>
  <c r="AX5" i="15"/>
  <c r="AI2" i="19"/>
  <c r="AF6" i="17"/>
  <c r="S6" i="17"/>
  <c r="AW6" i="19"/>
  <c r="BA7" i="15"/>
  <c r="W16" i="8"/>
  <c r="T3" i="17"/>
  <c r="AV6" i="14"/>
  <c r="D12" i="8"/>
  <c r="H3" i="21"/>
  <c r="AC5" i="22"/>
  <c r="U6" i="17"/>
  <c r="AG6" i="19"/>
  <c r="D5" i="14"/>
  <c r="AF10" i="17"/>
  <c r="F5" i="15"/>
  <c r="AF9" i="18"/>
  <c r="F3" i="17"/>
  <c r="D9" i="18"/>
  <c r="AT2" i="17"/>
  <c r="AZ4" i="14"/>
  <c r="D2" i="18"/>
  <c r="AD5" i="15"/>
  <c r="AU7" i="18"/>
  <c r="D2" i="17"/>
  <c r="AQ3" i="14"/>
  <c r="AR2" i="14"/>
  <c r="AG14" i="8"/>
  <c r="AO7" i="14"/>
  <c r="AD15" i="8"/>
  <c r="M12" i="8"/>
  <c r="AL9" i="20"/>
  <c r="K7" i="19"/>
  <c r="AZ5" i="14"/>
  <c r="X2" i="14"/>
  <c r="Z8" i="23"/>
  <c r="Z2" i="17"/>
  <c r="AS7" i="17"/>
  <c r="O4" i="24"/>
  <c r="AA2" i="19"/>
  <c r="AU2" i="22"/>
  <c r="AR6" i="18"/>
  <c r="AV4" i="17"/>
  <c r="AF2" i="18"/>
  <c r="N4" i="14"/>
  <c r="R10" i="17"/>
  <c r="AW4" i="15"/>
  <c r="T9" i="18"/>
  <c r="BC2" i="17"/>
  <c r="AS8" i="18"/>
  <c r="AL2" i="17"/>
  <c r="AH4" i="14"/>
  <c r="AQ10" i="17"/>
  <c r="R5" i="15"/>
  <c r="AM7" i="18"/>
  <c r="AQ3" i="16"/>
  <c r="AI3" i="14"/>
  <c r="AE2" i="14"/>
  <c r="Y14" i="8"/>
  <c r="S6" i="14"/>
  <c r="V15" i="8"/>
  <c r="E12" i="8"/>
  <c r="AZ3" i="18"/>
  <c r="AW9" i="18"/>
  <c r="J4" i="14"/>
  <c r="F5" i="14"/>
  <c r="J7" i="22"/>
  <c r="P8" i="14"/>
  <c r="AU3" i="16"/>
  <c r="AE9" i="18"/>
  <c r="U7" i="22"/>
  <c r="AW6" i="20"/>
  <c r="V6" i="20"/>
  <c r="F10" i="17"/>
  <c r="N2" i="16"/>
  <c r="AC8" i="17"/>
  <c r="AV2" i="14"/>
  <c r="AB8" i="17"/>
  <c r="AK2" i="15"/>
  <c r="R7" i="18"/>
  <c r="R3" i="16"/>
  <c r="AI6" i="18"/>
  <c r="AX2" i="16"/>
  <c r="D3" i="14"/>
  <c r="AW8" i="17"/>
  <c r="AX2" i="15"/>
  <c r="S5" i="18"/>
  <c r="H2" i="16"/>
  <c r="D2" i="15"/>
  <c r="B16" i="8"/>
  <c r="AW12" i="8"/>
  <c r="L2" i="14"/>
  <c r="AT13" i="8"/>
  <c r="I3" i="14"/>
  <c r="AF3" i="14"/>
  <c r="AW7" i="18"/>
  <c r="AG6" i="14"/>
  <c r="P13" i="8"/>
  <c r="BB2" i="21"/>
  <c r="AD3" i="18"/>
  <c r="AM3" i="14"/>
  <c r="AL7" i="23"/>
  <c r="AC8" i="19"/>
  <c r="AJ4" i="20"/>
  <c r="S3" i="20"/>
  <c r="AD3" i="15"/>
  <c r="AR4" i="14"/>
  <c r="V8" i="15"/>
  <c r="AA8" i="18"/>
  <c r="X2" i="17"/>
  <c r="M4" i="14"/>
  <c r="Q10" i="17"/>
  <c r="AT4" i="15"/>
  <c r="AR9" i="17"/>
  <c r="S4" i="15"/>
  <c r="AR8" i="18"/>
  <c r="M5" i="23"/>
  <c r="AZ2" i="19"/>
  <c r="W2" i="25"/>
  <c r="AR10" i="23"/>
  <c r="AG4" i="20"/>
  <c r="AG5" i="25"/>
  <c r="W8" i="22"/>
  <c r="E9" i="26"/>
  <c r="AU5" i="19"/>
  <c r="AR9" i="18"/>
  <c r="BA3" i="15"/>
  <c r="AM13" i="8"/>
  <c r="V4" i="18"/>
  <c r="AI14" i="8"/>
  <c r="R6" i="25"/>
  <c r="J10" i="20"/>
  <c r="AV9" i="20"/>
  <c r="E3" i="16"/>
  <c r="AZ5" i="18"/>
  <c r="H3" i="14"/>
  <c r="BB8" i="17"/>
  <c r="BA2" i="15"/>
  <c r="AP7" i="18"/>
  <c r="AT3" i="16"/>
  <c r="Q7" i="18"/>
  <c r="Q3" i="16"/>
  <c r="U3" i="14"/>
  <c r="S9" i="17"/>
  <c r="J3" i="15"/>
  <c r="AS5" i="18"/>
  <c r="X2" i="16"/>
  <c r="AI2" i="14"/>
  <c r="R16" i="8"/>
  <c r="Q13" i="8"/>
  <c r="AB2" i="14"/>
  <c r="N14" i="8"/>
  <c r="AR3" i="14"/>
  <c r="D4" i="20"/>
  <c r="AY5" i="18"/>
  <c r="T8" i="18"/>
  <c r="AP16" i="8"/>
  <c r="AJ6" i="23"/>
  <c r="AG3" i="14"/>
  <c r="AI2" i="16"/>
  <c r="U8" i="22"/>
  <c r="K9" i="20"/>
  <c r="AJ7" i="20"/>
  <c r="U10" i="17"/>
  <c r="AT2" i="16"/>
  <c r="O9" i="17"/>
  <c r="BD2" i="14"/>
  <c r="AN8" i="17"/>
  <c r="AS2" i="15"/>
  <c r="AD7" i="18"/>
  <c r="AF3" i="16"/>
  <c r="BA6" i="18"/>
  <c r="BF2" i="16"/>
  <c r="M3" i="14"/>
  <c r="I9" i="17"/>
  <c r="BF2" i="15"/>
  <c r="AE5" i="18"/>
  <c r="P2" i="16"/>
  <c r="AJ2" i="15"/>
  <c r="J16" i="8"/>
  <c r="I13" i="8"/>
  <c r="T2" i="14"/>
  <c r="F14" i="8"/>
  <c r="Y3" i="14"/>
  <c r="AC6" i="14"/>
  <c r="AB9" i="17"/>
  <c r="AE4" i="18"/>
  <c r="AF14" i="8"/>
  <c r="AY8" i="19"/>
  <c r="AN6" i="18"/>
  <c r="AO7" i="15"/>
  <c r="T9" i="17"/>
  <c r="AA6" i="23"/>
  <c r="AZ7" i="19"/>
  <c r="AA6" i="19"/>
  <c r="AA4" i="17"/>
  <c r="AA5" i="15"/>
  <c r="D5" i="17"/>
  <c r="AU3" i="19"/>
  <c r="R6" i="17"/>
  <c r="AR9" i="14"/>
  <c r="H5" i="18"/>
  <c r="BB8" i="15"/>
  <c r="AG4" i="18"/>
  <c r="AE8" i="15"/>
  <c r="BA4" i="19"/>
  <c r="AM6" i="17"/>
  <c r="AA10" i="14"/>
  <c r="BG2" i="18"/>
  <c r="U7" i="15"/>
  <c r="E3" i="14"/>
  <c r="AH14" i="8"/>
  <c r="Q9" i="14"/>
  <c r="AU15" i="8"/>
  <c r="AD12" i="8"/>
  <c r="AB16" i="8"/>
  <c r="AF7" i="17"/>
  <c r="AD7" i="17"/>
  <c r="AE10" i="18"/>
  <c r="AM12" i="8"/>
  <c r="D10" i="19"/>
  <c r="AS2" i="16"/>
  <c r="H8" i="18"/>
  <c r="M6" i="24"/>
  <c r="AS5" i="20"/>
  <c r="P2" i="22"/>
  <c r="AH6" i="19"/>
  <c r="M4" i="17"/>
  <c r="AC6" i="18"/>
  <c r="BC2" i="14"/>
  <c r="AR2" i="15"/>
  <c r="AA2" i="15"/>
  <c r="AK2" i="17"/>
  <c r="BA10" i="18"/>
  <c r="F7" i="15"/>
  <c r="C15" i="8"/>
  <c r="R3" i="14"/>
  <c r="AV14" i="8"/>
  <c r="S10" i="14"/>
  <c r="AK15" i="8"/>
  <c r="T12" i="8"/>
  <c r="AE8" i="17"/>
  <c r="AQ3" i="15"/>
  <c r="AW2" i="23"/>
  <c r="V4" i="19"/>
  <c r="D5" i="19"/>
  <c r="M3" i="17"/>
  <c r="AM4" i="15"/>
  <c r="I4" i="17"/>
  <c r="D3" i="19"/>
  <c r="AH5" i="17"/>
  <c r="H9" i="14"/>
  <c r="AH4" i="18"/>
  <c r="AF8" i="15"/>
  <c r="F4" i="18"/>
  <c r="D8" i="15"/>
  <c r="AM3" i="19"/>
  <c r="M6" i="17"/>
  <c r="AM9" i="14"/>
  <c r="AQ2" i="18"/>
  <c r="AQ6" i="15"/>
  <c r="AF2" i="14"/>
  <c r="R14" i="8"/>
  <c r="AE6" i="14"/>
  <c r="AE15" i="8"/>
  <c r="N12" i="8"/>
  <c r="L16" i="8"/>
  <c r="AC8" i="21"/>
  <c r="O2" i="18"/>
  <c r="AG3" i="15"/>
  <c r="R4" i="14"/>
  <c r="AK16" i="8"/>
  <c r="T4" i="22"/>
  <c r="H3" i="17"/>
  <c r="F7" i="21"/>
  <c r="H10" i="18"/>
  <c r="AU13" i="8"/>
  <c r="L13" i="8"/>
  <c r="BB2" i="14"/>
  <c r="AZ3" i="14"/>
  <c r="R7" i="17"/>
  <c r="AD2" i="14"/>
  <c r="AZ4" i="17"/>
  <c r="Q16" i="8"/>
  <c r="AS3" i="16"/>
  <c r="AG13" i="8"/>
  <c r="Q8" i="15"/>
  <c r="H10" i="17"/>
  <c r="AT3" i="14"/>
  <c r="AB3" i="20"/>
  <c r="AW5" i="15"/>
  <c r="C16" i="8"/>
  <c r="Y2" i="14"/>
  <c r="S3" i="15"/>
  <c r="AY3" i="18"/>
  <c r="J3" i="14"/>
  <c r="X14" i="8"/>
  <c r="AA14" i="8"/>
  <c r="BB10" i="14"/>
  <c r="M15" i="8"/>
  <c r="S2" i="14"/>
  <c r="AK3" i="14"/>
  <c r="AG5" i="14"/>
  <c r="Q12" i="8"/>
  <c r="P2" i="14"/>
  <c r="AA10" i="18"/>
  <c r="AP4" i="20"/>
  <c r="AH2" i="16"/>
  <c r="U8" i="14"/>
  <c r="E5" i="21"/>
  <c r="BB3" i="17"/>
  <c r="AE12" i="8"/>
  <c r="O15" i="8"/>
  <c r="AC10" i="18"/>
  <c r="AA4" i="18"/>
  <c r="Y4" i="19"/>
  <c r="S3" i="19"/>
  <c r="T9" i="14"/>
  <c r="BE2" i="16"/>
  <c r="M7" i="18"/>
  <c r="BA4" i="15"/>
  <c r="AI13" i="8"/>
  <c r="AO16" i="8"/>
  <c r="AF13" i="8"/>
  <c r="AZ2" i="14"/>
  <c r="U14" i="8"/>
  <c r="AP4" i="24"/>
  <c r="AN2" i="15"/>
  <c r="AD3" i="26"/>
  <c r="AG3" i="21"/>
  <c r="BA3" i="21"/>
  <c r="D10" i="20"/>
  <c r="AJ8" i="15"/>
  <c r="AV9" i="14"/>
  <c r="AV3" i="16"/>
  <c r="O10" i="18"/>
  <c r="AF3" i="17"/>
  <c r="T6" i="14"/>
  <c r="AL2" i="18"/>
  <c r="AH6" i="15"/>
  <c r="U2" i="18"/>
  <c r="D6" i="15"/>
  <c r="AF10" i="18"/>
  <c r="D4" i="17"/>
  <c r="BA6" i="14"/>
  <c r="AQ4" i="15"/>
  <c r="K16" i="8"/>
  <c r="B13" i="8"/>
  <c r="U2" i="14"/>
  <c r="O14" i="8"/>
  <c r="AR14" i="8"/>
  <c r="AS3" i="14"/>
  <c r="AO6" i="19"/>
  <c r="AC3" i="17"/>
  <c r="AE5" i="17"/>
  <c r="T8" i="14"/>
  <c r="AD14" i="8"/>
  <c r="AM7" i="15"/>
  <c r="Q2" i="14"/>
  <c r="AN6" i="14"/>
  <c r="S16" i="8"/>
  <c r="P16" i="8"/>
  <c r="J2" i="14"/>
  <c r="AF7" i="24"/>
  <c r="AG7" i="17"/>
  <c r="F6" i="18"/>
  <c r="AS4" i="18"/>
  <c r="AU16" i="8"/>
  <c r="AS2" i="19"/>
  <c r="G2" i="18"/>
  <c r="M2" i="17"/>
  <c r="AF2" i="15"/>
  <c r="AY4" i="15"/>
  <c r="BB5" i="17"/>
  <c r="AX4" i="18"/>
  <c r="U4" i="18"/>
  <c r="Q4" i="19"/>
  <c r="AN8" i="15"/>
  <c r="AY2" i="18"/>
  <c r="AW2" i="15"/>
  <c r="S12" i="8"/>
  <c r="Y15" i="8"/>
  <c r="P12" i="8"/>
  <c r="V16" i="8"/>
  <c r="E13" i="8"/>
  <c r="AN5" i="22"/>
  <c r="AA8" i="15"/>
  <c r="Q6" i="22"/>
  <c r="U8" i="19"/>
  <c r="AB4" i="20"/>
  <c r="J10" i="19"/>
  <c r="AV2" i="15"/>
  <c r="AD4" i="14"/>
  <c r="H8" i="15"/>
  <c r="M8" i="18"/>
  <c r="P2" i="17"/>
  <c r="D4" i="14"/>
  <c r="BA9" i="17"/>
  <c r="AF4" i="15"/>
  <c r="AJ9" i="17"/>
  <c r="D4" i="15"/>
  <c r="AF8" i="18"/>
  <c r="AC2" i="17"/>
  <c r="S4" i="14"/>
  <c r="AF8" i="17"/>
  <c r="AO2" i="15"/>
  <c r="AQ14" i="8"/>
  <c r="AQ10" i="14"/>
  <c r="H16" i="8"/>
  <c r="AU12" i="8"/>
  <c r="AS16" i="8"/>
  <c r="AB13" i="8"/>
  <c r="AR5" i="19"/>
  <c r="AU3" i="14"/>
  <c r="T6" i="18"/>
  <c r="AL3" i="14"/>
  <c r="AK10" i="23"/>
  <c r="AI2" i="17"/>
  <c r="AM7" i="19"/>
  <c r="AC4" i="15"/>
  <c r="Q6" i="14"/>
  <c r="AB14" i="8"/>
  <c r="F6" i="14"/>
  <c r="H4" i="14"/>
  <c r="AC16" i="8"/>
  <c r="E6" i="18"/>
  <c r="BB5" i="15"/>
  <c r="E4" i="18"/>
  <c r="E3" i="17"/>
  <c r="AI9" i="17"/>
  <c r="AA2" i="18"/>
  <c r="R15" i="8"/>
  <c r="I4" i="19"/>
  <c r="AC15" i="8"/>
  <c r="V8" i="18"/>
  <c r="AC9" i="14"/>
  <c r="H7" i="17"/>
  <c r="AV3" i="24"/>
  <c r="E8" i="17"/>
  <c r="AR15" i="8"/>
  <c r="AF5" i="14"/>
  <c r="T3" i="14"/>
  <c r="S8" i="18"/>
  <c r="R2" i="16"/>
  <c r="E8" i="18"/>
  <c r="AY2" i="14"/>
  <c r="AW4" i="19"/>
  <c r="AT7" i="17"/>
  <c r="U8" i="17"/>
  <c r="AD13" i="8"/>
  <c r="H3" i="19"/>
  <c r="B14" i="8"/>
  <c r="AU2" i="19"/>
  <c r="AV3" i="17"/>
  <c r="AT2" i="18"/>
  <c r="AC2" i="18"/>
  <c r="AR10" i="18"/>
  <c r="AR4" i="15"/>
  <c r="V10" i="17"/>
  <c r="T10" i="14"/>
  <c r="O2" i="14"/>
  <c r="I14" i="8"/>
  <c r="BB3" i="14"/>
  <c r="F15" i="8"/>
  <c r="BA9" i="14"/>
  <c r="BA2" i="20"/>
  <c r="O2" i="19"/>
  <c r="AG4" i="24"/>
  <c r="AK5" i="20"/>
  <c r="AW8" i="21"/>
  <c r="Z6" i="19"/>
  <c r="AA9" i="18"/>
  <c r="AE2" i="19"/>
  <c r="H5" i="15"/>
  <c r="M6" i="18"/>
  <c r="AJ2" i="16"/>
  <c r="AU2" i="14"/>
  <c r="AA8" i="17"/>
  <c r="AI7" i="19"/>
  <c r="AR7" i="17"/>
  <c r="S2" i="15"/>
  <c r="AH6" i="18"/>
  <c r="AW2" i="16"/>
  <c r="V6" i="17"/>
  <c r="BB9" i="14"/>
  <c r="AA13" i="8"/>
  <c r="BF2" i="14"/>
  <c r="AN14" i="8"/>
  <c r="BA8" i="14"/>
  <c r="L12" i="8"/>
  <c r="AQ2" i="17"/>
  <c r="F8" i="17"/>
  <c r="AD9" i="20"/>
  <c r="H6" i="18"/>
  <c r="AP9" i="17"/>
  <c r="H13" i="8"/>
  <c r="AG2" i="16"/>
  <c r="BB7" i="15"/>
  <c r="BB3" i="15"/>
  <c r="R9" i="14"/>
  <c r="R2" i="15"/>
  <c r="AX6" i="15"/>
  <c r="AB2" i="15"/>
  <c r="G13" i="8"/>
  <c r="AJ13" i="8"/>
  <c r="AA5" i="20"/>
  <c r="AQ7" i="19"/>
  <c r="AY2" i="16"/>
  <c r="AS2" i="14"/>
  <c r="AH15" i="8"/>
  <c r="R5" i="17"/>
  <c r="E2" i="14"/>
  <c r="K13" i="8"/>
  <c r="S4" i="18"/>
  <c r="AU4" i="17"/>
  <c r="AR2" i="16"/>
  <c r="AM8" i="17"/>
  <c r="H8" i="17"/>
  <c r="AX6" i="18"/>
  <c r="D10" i="14"/>
  <c r="AT8" i="17"/>
  <c r="AH7" i="14"/>
  <c r="AP15" i="8"/>
  <c r="AO12" i="8"/>
  <c r="D2" i="14"/>
  <c r="AL13" i="8"/>
  <c r="AW2" i="14"/>
  <c r="J4" i="19"/>
  <c r="U7" i="17"/>
  <c r="N5" i="24"/>
  <c r="AY2" i="22"/>
  <c r="AO5" i="20"/>
  <c r="AL2" i="19"/>
  <c r="AC4" i="18"/>
  <c r="AR7" i="18"/>
  <c r="F2" i="15"/>
  <c r="M4" i="18"/>
  <c r="F8" i="15"/>
  <c r="AQ3" i="19"/>
  <c r="Q6" i="17"/>
  <c r="BE2" i="19"/>
  <c r="AF5" i="17"/>
  <c r="E9" i="14"/>
  <c r="AF4" i="18"/>
  <c r="AD8" i="15"/>
  <c r="AQ10" i="18"/>
  <c r="N4" i="17"/>
  <c r="R7" i="14"/>
  <c r="K12" i="8"/>
  <c r="AG16" i="8"/>
  <c r="X13" i="8"/>
  <c r="AJ2" i="14"/>
  <c r="M14" i="8"/>
  <c r="AH8" i="23"/>
  <c r="AH2" i="17"/>
  <c r="M8" i="17"/>
  <c r="R6" i="15"/>
  <c r="Y12" i="8"/>
  <c r="AQ6" i="21"/>
  <c r="AB10" i="18"/>
  <c r="AG5" i="17"/>
  <c r="AG9" i="18"/>
  <c r="Q4" i="15"/>
  <c r="Y2" i="15"/>
  <c r="AS13" i="8"/>
  <c r="AM2" i="14"/>
  <c r="T2" i="17"/>
  <c r="M3" i="19"/>
  <c r="AQ5" i="14"/>
  <c r="S10" i="18"/>
  <c r="AW14" i="8"/>
  <c r="S6" i="18"/>
  <c r="AE7" i="19"/>
  <c r="AE16" i="8"/>
  <c r="Q4" i="14"/>
  <c r="AS12" i="8"/>
  <c r="AF7" i="18"/>
  <c r="T4" i="15"/>
  <c r="T2" i="15"/>
  <c r="AQ2" i="20"/>
  <c r="E8" i="15"/>
  <c r="H4" i="18"/>
  <c r="AQ15" i="8"/>
  <c r="F8" i="14"/>
  <c r="M3" i="15"/>
  <c r="AT15" i="8"/>
  <c r="AR5" i="17"/>
  <c r="BC2" i="19"/>
  <c r="AC12" i="8"/>
  <c r="AN2" i="16"/>
  <c r="AQ7" i="17"/>
  <c r="N13" i="8"/>
  <c r="AN15" i="8"/>
  <c r="Q4" i="17"/>
  <c r="AD2" i="19"/>
  <c r="AI8" i="15"/>
  <c r="AJ6" i="18"/>
  <c r="AH2" i="15"/>
  <c r="AG2" i="14"/>
  <c r="F16" i="8"/>
  <c r="AC10" i="14"/>
  <c r="L2" i="15"/>
  <c r="AH16" i="8"/>
  <c r="V5" i="15"/>
  <c r="U8" i="15"/>
  <c r="AC6" i="17"/>
  <c r="AT5" i="17"/>
  <c r="AT4" i="18"/>
  <c r="S7" i="14"/>
  <c r="AH6" i="17"/>
  <c r="S3" i="14"/>
  <c r="Z14" i="8"/>
  <c r="BA7" i="14"/>
  <c r="AM15" i="8"/>
  <c r="V12" i="8"/>
  <c r="T16" i="8"/>
  <c r="AA4" i="20"/>
  <c r="V4" i="15"/>
  <c r="AD8" i="22"/>
  <c r="AF3" i="20"/>
  <c r="BB5" i="19"/>
  <c r="AN9" i="18"/>
  <c r="AD8" i="17"/>
  <c r="AB4" i="18"/>
  <c r="AQ6" i="14"/>
  <c r="W2" i="18"/>
  <c r="F6" i="15"/>
  <c r="AH10" i="18"/>
  <c r="F4" i="17"/>
  <c r="M10" i="18"/>
  <c r="AD3" i="17"/>
  <c r="R6" i="14"/>
  <c r="AJ2" i="18"/>
  <c r="AF6" i="15"/>
  <c r="AQ8" i="18"/>
  <c r="AJ2" i="17"/>
  <c r="AF4" i="14"/>
  <c r="Q15" i="8"/>
  <c r="H12" i="8"/>
  <c r="N16" i="8"/>
  <c r="E4" i="24"/>
  <c r="S9" i="14"/>
  <c r="F7" i="17"/>
  <c r="T2" i="18"/>
  <c r="AN3" i="17"/>
  <c r="D9" i="14"/>
  <c r="F3" i="16"/>
  <c r="T5" i="17"/>
  <c r="U2" i="15"/>
  <c r="AG12" i="8"/>
  <c r="AE5" i="15"/>
  <c r="Q6" i="15"/>
  <c r="Y3" i="19"/>
  <c r="AD9" i="14"/>
  <c r="AR8" i="15"/>
  <c r="S8" i="15"/>
  <c r="AA6" i="17"/>
  <c r="AG4" i="14"/>
  <c r="AB4" i="17"/>
  <c r="AT2" i="14"/>
  <c r="J13" i="8"/>
  <c r="AC2" i="14"/>
  <c r="W14" i="8"/>
  <c r="AM4" i="14"/>
  <c r="D15" i="8"/>
  <c r="AU9" i="20"/>
  <c r="BA9" i="18"/>
  <c r="AD9" i="23"/>
  <c r="BA10" i="21"/>
  <c r="AI6" i="21"/>
  <c r="AR4" i="18"/>
  <c r="BF2" i="17"/>
  <c r="AW10" i="17"/>
  <c r="AN3" i="14"/>
  <c r="AL9" i="17"/>
  <c r="F4" i="15"/>
  <c r="AH8" i="18"/>
  <c r="AE2" i="17"/>
  <c r="F8" i="18"/>
  <c r="N2" i="17"/>
  <c r="BA3" i="14"/>
  <c r="AY9" i="17"/>
  <c r="AD4" i="15"/>
  <c r="AW6" i="18"/>
  <c r="BD2" i="16"/>
  <c r="K3" i="14"/>
  <c r="G2" i="14"/>
  <c r="AW13" i="8"/>
  <c r="AD3" i="14"/>
  <c r="AT14" i="8"/>
  <c r="AE8" i="14"/>
  <c r="T2" i="22"/>
  <c r="AP7" i="15"/>
  <c r="AQ3" i="18"/>
  <c r="AE8" i="18"/>
  <c r="G14" i="8"/>
  <c r="AB3" i="21"/>
  <c r="X3" i="14"/>
  <c r="Y2" i="19"/>
  <c r="AG5" i="18"/>
  <c r="AH12" i="8"/>
  <c r="I4" i="14"/>
  <c r="AF6" i="14"/>
  <c r="S6" i="15"/>
  <c r="AS8" i="17"/>
  <c r="AM8" i="15"/>
  <c r="S3" i="18"/>
  <c r="AH17" i="8" l="1"/>
  <c r="I49" i="7" s="1"/>
  <c r="B19" i="19"/>
  <c r="K19" i="49" s="1"/>
  <c r="M19" i="49" s="1"/>
  <c r="C14" i="22"/>
  <c r="C10" i="17"/>
  <c r="F10" i="49" s="1"/>
  <c r="B22" i="17"/>
  <c r="E22" i="49" s="1"/>
  <c r="G22" i="49" s="1"/>
  <c r="B21" i="14"/>
  <c r="B21" i="49" s="1"/>
  <c r="C33" i="14"/>
  <c r="C31" i="4" s="1"/>
  <c r="AG17" i="8"/>
  <c r="H49" i="7" s="1"/>
  <c r="B17" i="15"/>
  <c r="C14" i="18"/>
  <c r="I14" i="49" s="1"/>
  <c r="H17" i="8"/>
  <c r="G41" i="7" s="1"/>
  <c r="C26" i="17"/>
  <c r="C26" i="18"/>
  <c r="I26" i="49" s="1"/>
  <c r="B18" i="18"/>
  <c r="V17" i="8"/>
  <c r="I45" i="7" s="1"/>
  <c r="C9" i="15"/>
  <c r="B23" i="14"/>
  <c r="B23" i="49" s="1"/>
  <c r="C23" i="15"/>
  <c r="C21" i="19"/>
  <c r="L21" i="49" s="1"/>
  <c r="C28" i="16"/>
  <c r="AC17" i="8"/>
  <c r="G48" i="7" s="1"/>
  <c r="B32" i="20"/>
  <c r="N32" i="49" s="1"/>
  <c r="P32" i="49" s="1"/>
  <c r="C14" i="15"/>
  <c r="AS17" i="8"/>
  <c r="H53" i="7" s="1"/>
  <c r="C14" i="17"/>
  <c r="B28" i="14"/>
  <c r="B28" i="49" s="1"/>
  <c r="B19" i="15"/>
  <c r="Y17" i="8"/>
  <c r="I46" i="7" s="1"/>
  <c r="C23" i="17"/>
  <c r="F23" i="49" s="1"/>
  <c r="C26" i="14"/>
  <c r="K17" i="8"/>
  <c r="G42" i="7" s="1"/>
  <c r="C27" i="19"/>
  <c r="L27" i="49" s="1"/>
  <c r="B37" i="22"/>
  <c r="T37" i="49" s="1"/>
  <c r="V37" i="49" s="1"/>
  <c r="B35" i="14"/>
  <c r="B33" i="4" s="1"/>
  <c r="B10" i="48" s="1"/>
  <c r="AO17" i="8"/>
  <c r="G52" i="7" s="1"/>
  <c r="C32" i="16"/>
  <c r="B33" i="14"/>
  <c r="B33" i="49" s="1"/>
  <c r="B37" i="16"/>
  <c r="C20" i="15"/>
  <c r="C13" i="15"/>
  <c r="B23" i="16"/>
  <c r="B32" i="17"/>
  <c r="E32" i="49" s="1"/>
  <c r="G32" i="49" s="1"/>
  <c r="L17" i="8"/>
  <c r="H42" i="7" s="1"/>
  <c r="B35" i="16"/>
  <c r="B14" i="15"/>
  <c r="B34" i="14"/>
  <c r="B34" i="49" s="1"/>
  <c r="C26" i="16"/>
  <c r="B22" i="19"/>
  <c r="K22" i="49" s="1"/>
  <c r="M22" i="49" s="1"/>
  <c r="B12" i="19"/>
  <c r="K12" i="49" s="1"/>
  <c r="M12" i="49" s="1"/>
  <c r="B38" i="20"/>
  <c r="B12" i="14"/>
  <c r="B12" i="49" s="1"/>
  <c r="B21" i="18"/>
  <c r="H21" i="49" s="1"/>
  <c r="J21" i="49" s="1"/>
  <c r="C33" i="18"/>
  <c r="I33" i="49" s="1"/>
  <c r="B34" i="19"/>
  <c r="K34" i="49" s="1"/>
  <c r="M34" i="49" s="1"/>
  <c r="AX14" i="8"/>
  <c r="B37" i="14"/>
  <c r="B37" i="49" s="1"/>
  <c r="C13" i="16"/>
  <c r="B20" i="18"/>
  <c r="H20" i="49" s="1"/>
  <c r="J20" i="49" s="1"/>
  <c r="B26" i="17"/>
  <c r="E26" i="49" s="1"/>
  <c r="G26" i="49" s="1"/>
  <c r="AU17" i="8"/>
  <c r="G54" i="7" s="1"/>
  <c r="B31" i="15"/>
  <c r="B21" i="17"/>
  <c r="E21" i="49" s="1"/>
  <c r="G21" i="49" s="1"/>
  <c r="C12" i="17"/>
  <c r="C34" i="15"/>
  <c r="P17" i="8"/>
  <c r="I43" i="7" s="1"/>
  <c r="S17" i="8"/>
  <c r="I44" i="7" s="1"/>
  <c r="B35" i="15"/>
  <c r="B37" i="18"/>
  <c r="H37" i="49" s="1"/>
  <c r="J37" i="49" s="1"/>
  <c r="C22" i="15"/>
  <c r="B10" i="17"/>
  <c r="E10" i="49" s="1"/>
  <c r="G10" i="49" s="1"/>
  <c r="B33" i="19"/>
  <c r="K33" i="49" s="1"/>
  <c r="M33" i="49" s="1"/>
  <c r="C7" i="14"/>
  <c r="B13" i="14"/>
  <c r="B13" i="49" s="1"/>
  <c r="B17" i="14"/>
  <c r="AX13" i="8"/>
  <c r="B17" i="18"/>
  <c r="H17" i="49" s="1"/>
  <c r="J17" i="49" s="1"/>
  <c r="C27" i="18"/>
  <c r="C28" i="15"/>
  <c r="C37" i="14"/>
  <c r="C37" i="49" s="1"/>
  <c r="AE17" i="8"/>
  <c r="I48" i="7" s="1"/>
  <c r="C23" i="16"/>
  <c r="C12" i="14"/>
  <c r="C12" i="49" s="1"/>
  <c r="Q17" i="8"/>
  <c r="G44" i="7" s="1"/>
  <c r="B14" i="14"/>
  <c r="B14" i="49" s="1"/>
  <c r="B19" i="14"/>
  <c r="B19" i="49" s="1"/>
  <c r="AY16" i="8"/>
  <c r="C21" i="14"/>
  <c r="C21" i="49" s="1"/>
  <c r="C38" i="14"/>
  <c r="B12" i="18"/>
  <c r="H10" i="4" s="1"/>
  <c r="J10" i="4" s="1"/>
  <c r="N17" i="8"/>
  <c r="G43" i="7" s="1"/>
  <c r="C22" i="14"/>
  <c r="C22" i="49" s="1"/>
  <c r="B32" i="18"/>
  <c r="H32" i="49" s="1"/>
  <c r="J32" i="49" s="1"/>
  <c r="B35" i="23"/>
  <c r="W35" i="49" s="1"/>
  <c r="Y35" i="49" s="1"/>
  <c r="T17" i="8"/>
  <c r="G45" i="7" s="1"/>
  <c r="AY15" i="8"/>
  <c r="B27" i="17"/>
  <c r="E27" i="49" s="1"/>
  <c r="G27" i="49" s="1"/>
  <c r="B20" i="15"/>
  <c r="C32" i="15"/>
  <c r="C12" i="22"/>
  <c r="B33" i="16"/>
  <c r="AM17" i="8"/>
  <c r="H51" i="7" s="1"/>
  <c r="AD17" i="8"/>
  <c r="H48" i="7" s="1"/>
  <c r="C14" i="14"/>
  <c r="C14" i="49" s="1"/>
  <c r="C26" i="15"/>
  <c r="C12" i="16"/>
  <c r="B33" i="15"/>
  <c r="C33" i="16"/>
  <c r="B26" i="16"/>
  <c r="C20" i="14"/>
  <c r="C20" i="49" s="1"/>
  <c r="B26" i="14"/>
  <c r="C18" i="16"/>
  <c r="B38" i="15"/>
  <c r="B18" i="25"/>
  <c r="C37" i="19"/>
  <c r="L37" i="49" s="1"/>
  <c r="C18" i="17"/>
  <c r="F18" i="49" s="1"/>
  <c r="C38" i="21"/>
  <c r="C9" i="14"/>
  <c r="C9" i="49" s="1"/>
  <c r="AW17" i="8"/>
  <c r="I54" i="7" s="1"/>
  <c r="AX16" i="8"/>
  <c r="C35" i="15"/>
  <c r="C35" i="16"/>
  <c r="B27" i="15"/>
  <c r="C34" i="14"/>
  <c r="C34" i="49" s="1"/>
  <c r="C10" i="16"/>
  <c r="E17" i="8"/>
  <c r="G40" i="7" s="1"/>
  <c r="B22" i="14"/>
  <c r="B22" i="49" s="1"/>
  <c r="C27" i="17"/>
  <c r="F27" i="49" s="1"/>
  <c r="C22" i="18"/>
  <c r="I22" i="49" s="1"/>
  <c r="B34" i="22"/>
  <c r="T34" i="49" s="1"/>
  <c r="V34" i="49" s="1"/>
  <c r="B20" i="19"/>
  <c r="K20" i="49" s="1"/>
  <c r="M20" i="49" s="1"/>
  <c r="C19" i="17"/>
  <c r="F19" i="49" s="1"/>
  <c r="C18" i="14"/>
  <c r="C16" i="4" s="1"/>
  <c r="M17" i="8"/>
  <c r="I42" i="7" s="1"/>
  <c r="C32" i="14"/>
  <c r="C32" i="49" s="1"/>
  <c r="C33" i="17"/>
  <c r="F33" i="49" s="1"/>
  <c r="D17" i="8"/>
  <c r="I39" i="7" s="1"/>
  <c r="B26" i="19"/>
  <c r="K26" i="49" s="1"/>
  <c r="M26" i="49" s="1"/>
  <c r="B35" i="24"/>
  <c r="Z35" i="49" s="1"/>
  <c r="AB35" i="49" s="1"/>
  <c r="B7" i="17"/>
  <c r="E7" i="49" s="1"/>
  <c r="G7" i="49" s="1"/>
  <c r="C13" i="21"/>
  <c r="R13" i="49" s="1"/>
  <c r="B13" i="25"/>
  <c r="AC13" i="49" s="1"/>
  <c r="AE13" i="49" s="1"/>
  <c r="C9" i="22"/>
  <c r="B18" i="14"/>
  <c r="C21" i="17"/>
  <c r="F21" i="49" s="1"/>
  <c r="B34" i="17"/>
  <c r="E34" i="49" s="1"/>
  <c r="G34" i="49" s="1"/>
  <c r="C12" i="18"/>
  <c r="I12" i="49" s="1"/>
  <c r="B28" i="22"/>
  <c r="T28" i="49" s="1"/>
  <c r="V28" i="49" s="1"/>
  <c r="B14" i="19"/>
  <c r="K14" i="49" s="1"/>
  <c r="M14" i="49" s="1"/>
  <c r="C14" i="24"/>
  <c r="C31" i="14"/>
  <c r="C31" i="49" s="1"/>
  <c r="B32" i="16"/>
  <c r="AF17" i="8"/>
  <c r="G49" i="7" s="1"/>
  <c r="B10" i="19"/>
  <c r="K10" i="49" s="1"/>
  <c r="M10" i="49" s="1"/>
  <c r="B34" i="18"/>
  <c r="H34" i="49" s="1"/>
  <c r="J34" i="49" s="1"/>
  <c r="C26" i="19"/>
  <c r="L26" i="49" s="1"/>
  <c r="B23" i="15"/>
  <c r="C19" i="16"/>
  <c r="AN17" i="8"/>
  <c r="I51" i="7" s="1"/>
  <c r="C20" i="19"/>
  <c r="L20" i="49" s="1"/>
  <c r="B28" i="15"/>
  <c r="C7" i="18"/>
  <c r="AK17" i="8"/>
  <c r="I50" i="7" s="1"/>
  <c r="C7" i="16"/>
  <c r="C18" i="18"/>
  <c r="C14" i="16"/>
  <c r="B31" i="18"/>
  <c r="H29" i="4" s="1"/>
  <c r="J29" i="4" s="1"/>
  <c r="C17" i="8"/>
  <c r="H39" i="7" s="1"/>
  <c r="AY12" i="8"/>
  <c r="B18" i="17"/>
  <c r="E18" i="49" s="1"/>
  <c r="G18" i="49" s="1"/>
  <c r="X17" i="8"/>
  <c r="H46" i="7" s="1"/>
  <c r="C37" i="17"/>
  <c r="F37" i="49" s="1"/>
  <c r="C37" i="18"/>
  <c r="I37" i="49" s="1"/>
  <c r="B28" i="18"/>
  <c r="H28" i="49" s="1"/>
  <c r="J28" i="49" s="1"/>
  <c r="AI17" i="8"/>
  <c r="G50" i="7" s="1"/>
  <c r="B17" i="19"/>
  <c r="K17" i="49" s="1"/>
  <c r="M17" i="49" s="1"/>
  <c r="B7" i="16"/>
  <c r="C38" i="15"/>
  <c r="C20" i="17"/>
  <c r="F20" i="49" s="1"/>
  <c r="C10" i="14"/>
  <c r="C10" i="49" s="1"/>
  <c r="AQ17" i="8"/>
  <c r="I52" i="7" s="1"/>
  <c r="B27" i="19"/>
  <c r="K27" i="49" s="1"/>
  <c r="M27" i="49" s="1"/>
  <c r="B13" i="16"/>
  <c r="B26" i="18"/>
  <c r="H26" i="49" s="1"/>
  <c r="J26" i="49" s="1"/>
  <c r="I17" i="8"/>
  <c r="H41" i="7" s="1"/>
  <c r="B13" i="22"/>
  <c r="T13" i="49" s="1"/>
  <c r="V13" i="49" s="1"/>
  <c r="C13" i="27"/>
  <c r="AJ13" i="49" s="1"/>
  <c r="B20" i="27"/>
  <c r="AI20" i="49" s="1"/>
  <c r="AK20" i="49" s="1"/>
  <c r="C31" i="15"/>
  <c r="B38" i="14"/>
  <c r="C31" i="16"/>
  <c r="B21" i="15"/>
  <c r="C28" i="14"/>
  <c r="C21" i="18"/>
  <c r="I21" i="49" s="1"/>
  <c r="AA17" i="8"/>
  <c r="H47" i="7" s="1"/>
  <c r="C7" i="19"/>
  <c r="L7" i="49" s="1"/>
  <c r="C21" i="15"/>
  <c r="C17" i="18"/>
  <c r="I17" i="49" s="1"/>
  <c r="C35" i="18"/>
  <c r="I35" i="49" s="1"/>
  <c r="C20" i="18"/>
  <c r="I20" i="49" s="1"/>
  <c r="AJ17" i="8"/>
  <c r="H50" i="7" s="1"/>
  <c r="G17" i="8"/>
  <c r="I40" i="7" s="1"/>
  <c r="AY14" i="8"/>
  <c r="B32" i="15"/>
  <c r="B13" i="19"/>
  <c r="K13" i="49" s="1"/>
  <c r="M13" i="49" s="1"/>
  <c r="AR17" i="8"/>
  <c r="G53" i="7" s="1"/>
  <c r="O17" i="8"/>
  <c r="H43" i="7" s="1"/>
  <c r="B7" i="15"/>
  <c r="B37" i="15"/>
  <c r="C38" i="16"/>
  <c r="B20" i="14"/>
  <c r="B20" i="49" s="1"/>
  <c r="B31" i="16"/>
  <c r="Z17" i="8"/>
  <c r="G47" i="7" s="1"/>
  <c r="B20" i="16"/>
  <c r="B23" i="22"/>
  <c r="T23" i="49" s="1"/>
  <c r="V23" i="49" s="1"/>
  <c r="C17" i="17"/>
  <c r="F17" i="49" s="1"/>
  <c r="B28" i="17"/>
  <c r="E28" i="49" s="1"/>
  <c r="G28" i="49" s="1"/>
  <c r="C7" i="22"/>
  <c r="B27" i="14"/>
  <c r="AB17" i="8"/>
  <c r="I47" i="7" s="1"/>
  <c r="C12" i="15"/>
  <c r="B26" i="15"/>
  <c r="C37" i="15"/>
  <c r="C37" i="16"/>
  <c r="F17" i="8"/>
  <c r="H40" i="7" s="1"/>
  <c r="C19" i="14"/>
  <c r="J17" i="8"/>
  <c r="I41" i="7" s="1"/>
  <c r="B38" i="17"/>
  <c r="E20" i="48" s="1"/>
  <c r="C28" i="17"/>
  <c r="B10" i="16"/>
  <c r="C19" i="15"/>
  <c r="C23" i="14"/>
  <c r="C23" i="49" s="1"/>
  <c r="R17" i="8"/>
  <c r="H44" i="7" s="1"/>
  <c r="C34" i="17"/>
  <c r="F34" i="49" s="1"/>
  <c r="B9" i="15"/>
  <c r="B7" i="14"/>
  <c r="C7" i="15"/>
  <c r="C27" i="15"/>
  <c r="C32" i="17"/>
  <c r="F32" i="49" s="1"/>
  <c r="C32" i="18"/>
  <c r="I32" i="49" s="1"/>
  <c r="B22" i="18"/>
  <c r="H22" i="49" s="1"/>
  <c r="J22" i="49" s="1"/>
  <c r="B12" i="17"/>
  <c r="E12" i="49" s="1"/>
  <c r="G12" i="49" s="1"/>
  <c r="B21" i="19"/>
  <c r="K21" i="49" s="1"/>
  <c r="M21" i="49" s="1"/>
  <c r="C34" i="16"/>
  <c r="B10" i="15"/>
  <c r="C13" i="14"/>
  <c r="B17" i="8"/>
  <c r="G39" i="7" s="1"/>
  <c r="AX12" i="8"/>
  <c r="B33" i="17"/>
  <c r="E33" i="49" s="1"/>
  <c r="G33" i="49" s="1"/>
  <c r="C22" i="17"/>
  <c r="F22" i="49" s="1"/>
  <c r="C10" i="20"/>
  <c r="O10" i="49" s="1"/>
  <c r="B14" i="21"/>
  <c r="Q14" i="49" s="1"/>
  <c r="S14" i="49" s="1"/>
  <c r="C20" i="16"/>
  <c r="B9" i="19"/>
  <c r="K9" i="49" s="1"/>
  <c r="M9" i="49" s="1"/>
  <c r="B33" i="18"/>
  <c r="H33" i="49" s="1"/>
  <c r="J33" i="49" s="1"/>
  <c r="B23" i="17"/>
  <c r="E23" i="49" s="1"/>
  <c r="G23" i="49" s="1"/>
  <c r="B22" i="15"/>
  <c r="B19" i="22"/>
  <c r="T19" i="49" s="1"/>
  <c r="V19" i="49" s="1"/>
  <c r="B21" i="22"/>
  <c r="T21" i="49" s="1"/>
  <c r="V21" i="49" s="1"/>
  <c r="C31" i="19"/>
  <c r="L31" i="49" s="1"/>
  <c r="B10" i="14"/>
  <c r="B10" i="49" s="1"/>
  <c r="B17" i="17"/>
  <c r="E17" i="49" s="1"/>
  <c r="G17" i="49" s="1"/>
  <c r="B9" i="18"/>
  <c r="H7" i="3" s="1"/>
  <c r="B18" i="19"/>
  <c r="K18" i="49" s="1"/>
  <c r="M18" i="49" s="1"/>
  <c r="B38" i="18"/>
  <c r="AP17" i="8"/>
  <c r="H52" i="7" s="1"/>
  <c r="C35" i="14"/>
  <c r="C33" i="4" s="1"/>
  <c r="C10" i="48" s="1"/>
  <c r="B20" i="25"/>
  <c r="B23" i="19"/>
  <c r="K23" i="49" s="1"/>
  <c r="M23" i="49" s="1"/>
  <c r="C17" i="15"/>
  <c r="C22" i="20"/>
  <c r="O22" i="49" s="1"/>
  <c r="B31" i="14"/>
  <c r="B27" i="18"/>
  <c r="C38" i="18"/>
  <c r="B19" i="17"/>
  <c r="E19" i="49" s="1"/>
  <c r="G19" i="49" s="1"/>
  <c r="B18" i="16"/>
  <c r="B17" i="22"/>
  <c r="T17" i="49" s="1"/>
  <c r="V17" i="49" s="1"/>
  <c r="AL17" i="8"/>
  <c r="G51" i="7" s="1"/>
  <c r="B9" i="16"/>
  <c r="C13" i="20"/>
  <c r="O13" i="49" s="1"/>
  <c r="AT17" i="8"/>
  <c r="I53" i="7" s="1"/>
  <c r="C18" i="15"/>
  <c r="AX15" i="8"/>
  <c r="B14" i="16"/>
  <c r="C28" i="18"/>
  <c r="I28" i="49" s="1"/>
  <c r="C37" i="21"/>
  <c r="R37" i="49" s="1"/>
  <c r="C14" i="19"/>
  <c r="L14" i="49" s="1"/>
  <c r="C22" i="24"/>
  <c r="B10" i="18"/>
  <c r="H10" i="49" s="1"/>
  <c r="J10" i="49" s="1"/>
  <c r="U17" i="8"/>
  <c r="H45" i="7" s="1"/>
  <c r="C9" i="17"/>
  <c r="G7" i="3" s="1"/>
  <c r="C9" i="18"/>
  <c r="C38" i="17"/>
  <c r="B21" i="16"/>
  <c r="C38" i="19"/>
  <c r="C7" i="21"/>
  <c r="O5" i="3" s="1"/>
  <c r="B14" i="27"/>
  <c r="AI14" i="49" s="1"/>
  <c r="AK14" i="49" s="1"/>
  <c r="C18" i="22"/>
  <c r="C28" i="24"/>
  <c r="C34" i="18"/>
  <c r="B35" i="19"/>
  <c r="K35" i="49" s="1"/>
  <c r="M35" i="49" s="1"/>
  <c r="C20" i="23"/>
  <c r="X20" i="49" s="1"/>
  <c r="C33" i="15"/>
  <c r="C13" i="17"/>
  <c r="F13" i="49" s="1"/>
  <c r="B20" i="17"/>
  <c r="E20" i="49" s="1"/>
  <c r="G20" i="49" s="1"/>
  <c r="C18" i="20"/>
  <c r="O18" i="49" s="1"/>
  <c r="B31" i="19"/>
  <c r="K31" i="49" s="1"/>
  <c r="M31" i="49" s="1"/>
  <c r="B9" i="14"/>
  <c r="B9" i="49" s="1"/>
  <c r="AV17" i="8"/>
  <c r="H54" i="7" s="1"/>
  <c r="C9" i="19"/>
  <c r="L9" i="49" s="1"/>
  <c r="C32" i="19"/>
  <c r="L32" i="49" s="1"/>
  <c r="B23" i="18"/>
  <c r="H23" i="49" s="1"/>
  <c r="J23" i="49" s="1"/>
  <c r="B7" i="20"/>
  <c r="N7" i="49" s="1"/>
  <c r="P7" i="49" s="1"/>
  <c r="C23" i="25"/>
  <c r="AD23" i="49" s="1"/>
  <c r="B35" i="18"/>
  <c r="H35" i="49" s="1"/>
  <c r="J35" i="49" s="1"/>
  <c r="B37" i="20"/>
  <c r="N37" i="49" s="1"/>
  <c r="P37" i="49" s="1"/>
  <c r="B13" i="17"/>
  <c r="E13" i="49" s="1"/>
  <c r="G13" i="49" s="1"/>
  <c r="B7" i="18"/>
  <c r="C13" i="18"/>
  <c r="C14" i="20"/>
  <c r="O14" i="49" s="1"/>
  <c r="B7" i="21"/>
  <c r="Q7" i="49" s="1"/>
  <c r="S7" i="49" s="1"/>
  <c r="B9" i="24"/>
  <c r="Z9" i="49" s="1"/>
  <c r="AB9" i="49" s="1"/>
  <c r="B12" i="15"/>
  <c r="B18" i="20"/>
  <c r="N18" i="49" s="1"/>
  <c r="P18" i="49" s="1"/>
  <c r="C26" i="20"/>
  <c r="O26" i="49" s="1"/>
  <c r="C31" i="37"/>
  <c r="B32" i="19"/>
  <c r="K32" i="49" s="1"/>
  <c r="M32" i="49" s="1"/>
  <c r="C17" i="14"/>
  <c r="C17" i="49" s="1"/>
  <c r="AY13" i="8"/>
  <c r="B38" i="19"/>
  <c r="B19" i="16"/>
  <c r="C9" i="16"/>
  <c r="C7" i="20"/>
  <c r="O7" i="49" s="1"/>
  <c r="B22" i="21"/>
  <c r="Q22" i="49" s="1"/>
  <c r="S22" i="49" s="1"/>
  <c r="B12" i="25"/>
  <c r="AC12" i="49" s="1"/>
  <c r="AE12" i="49" s="1"/>
  <c r="B14" i="25"/>
  <c r="B37" i="23"/>
  <c r="W37" i="49" s="1"/>
  <c r="Y37" i="49" s="1"/>
  <c r="B38" i="16"/>
  <c r="C34" i="24"/>
  <c r="B17" i="16"/>
  <c r="W17" i="8"/>
  <c r="G46" i="7" s="1"/>
  <c r="B13" i="15"/>
  <c r="B12" i="21"/>
  <c r="N10" i="3" s="1"/>
  <c r="B12" i="16"/>
  <c r="C17" i="16"/>
  <c r="B22" i="16"/>
  <c r="B27" i="23"/>
  <c r="B18" i="24"/>
  <c r="Z18" i="49" s="1"/>
  <c r="AB18" i="49" s="1"/>
  <c r="B31" i="17"/>
  <c r="E31" i="49" s="1"/>
  <c r="G31" i="49" s="1"/>
  <c r="B13" i="18"/>
  <c r="C19" i="18"/>
  <c r="I17" i="3" s="1"/>
  <c r="C17" i="22"/>
  <c r="U17" i="49" s="1"/>
  <c r="C20" i="20"/>
  <c r="O20" i="49" s="1"/>
  <c r="B18" i="15"/>
  <c r="C17" i="19"/>
  <c r="L17" i="49" s="1"/>
  <c r="B22" i="22"/>
  <c r="T22" i="49" s="1"/>
  <c r="V22" i="49" s="1"/>
  <c r="C10" i="18"/>
  <c r="I10" i="49" s="1"/>
  <c r="B27" i="16"/>
  <c r="C31" i="17"/>
  <c r="F31" i="49" s="1"/>
  <c r="B37" i="17"/>
  <c r="E37" i="49" s="1"/>
  <c r="G37" i="49" s="1"/>
  <c r="C31" i="24"/>
  <c r="AA31" i="49" s="1"/>
  <c r="C10" i="15"/>
  <c r="B18" i="21"/>
  <c r="B31" i="24"/>
  <c r="Z31" i="49" s="1"/>
  <c r="AB31" i="49" s="1"/>
  <c r="C10" i="23"/>
  <c r="X10" i="49" s="1"/>
  <c r="B9" i="17"/>
  <c r="C13" i="29"/>
  <c r="AP13" i="49" s="1"/>
  <c r="C9" i="23"/>
  <c r="X9" i="49" s="1"/>
  <c r="B14" i="18"/>
  <c r="H14" i="49" s="1"/>
  <c r="J14" i="49" s="1"/>
  <c r="B28" i="19"/>
  <c r="K28" i="49" s="1"/>
  <c r="M28" i="49" s="1"/>
  <c r="C10" i="19"/>
  <c r="L10" i="49" s="1"/>
  <c r="B34" i="15"/>
  <c r="C27" i="22"/>
  <c r="B7" i="19"/>
  <c r="K7" i="49" s="1"/>
  <c r="M7" i="49" s="1"/>
  <c r="C35" i="17"/>
  <c r="F35" i="49" s="1"/>
  <c r="C35" i="24"/>
  <c r="B21" i="24"/>
  <c r="Z21" i="49" s="1"/>
  <c r="AB21" i="49" s="1"/>
  <c r="C21" i="16"/>
  <c r="B28" i="16"/>
  <c r="C34" i="21"/>
  <c r="B28" i="24"/>
  <c r="Z28" i="49" s="1"/>
  <c r="AB28" i="49" s="1"/>
  <c r="B35" i="17"/>
  <c r="E35" i="49" s="1"/>
  <c r="G35" i="49" s="1"/>
  <c r="B19" i="18"/>
  <c r="H17" i="3" s="1"/>
  <c r="C23" i="18"/>
  <c r="I23" i="49" s="1"/>
  <c r="C21" i="22"/>
  <c r="U21" i="49" s="1"/>
  <c r="C7" i="17"/>
  <c r="B14" i="17"/>
  <c r="E14" i="49" s="1"/>
  <c r="G14" i="49" s="1"/>
  <c r="C12" i="20"/>
  <c r="O12" i="49" s="1"/>
  <c r="C27" i="21"/>
  <c r="R27" i="49" s="1"/>
  <c r="C35" i="23"/>
  <c r="X35" i="49" s="1"/>
  <c r="B10" i="21"/>
  <c r="Q10" i="49" s="1"/>
  <c r="S10" i="49" s="1"/>
  <c r="C27" i="14"/>
  <c r="B32" i="14"/>
  <c r="B32" i="49" s="1"/>
  <c r="C22" i="16"/>
  <c r="C31" i="18"/>
  <c r="B23" i="25"/>
  <c r="AC23" i="49" s="1"/>
  <c r="AE23" i="49" s="1"/>
  <c r="C33" i="19"/>
  <c r="L33" i="49" s="1"/>
  <c r="B9" i="21"/>
  <c r="B17" i="24"/>
  <c r="Z17" i="49" s="1"/>
  <c r="AB17" i="49" s="1"/>
  <c r="C38" i="26"/>
  <c r="B20" i="21"/>
  <c r="Q20" i="49" s="1"/>
  <c r="S20" i="49" s="1"/>
  <c r="C35" i="19"/>
  <c r="L35" i="49" s="1"/>
  <c r="B12" i="20"/>
  <c r="N12" i="49" s="1"/>
  <c r="P12" i="49" s="1"/>
  <c r="B26" i="22"/>
  <c r="T26" i="49" s="1"/>
  <c r="V26" i="49" s="1"/>
  <c r="C9" i="26"/>
  <c r="C27" i="16"/>
  <c r="B34" i="16"/>
  <c r="C33" i="21"/>
  <c r="R33" i="49" s="1"/>
  <c r="B26" i="21"/>
  <c r="Q26" i="49" s="1"/>
  <c r="S26" i="49" s="1"/>
  <c r="C22" i="22"/>
  <c r="B31" i="22"/>
  <c r="T31" i="49" s="1"/>
  <c r="V31" i="49" s="1"/>
  <c r="B13" i="21"/>
  <c r="Q13" i="49" s="1"/>
  <c r="S13" i="49" s="1"/>
  <c r="B37" i="25"/>
  <c r="B14" i="24"/>
  <c r="Z14" i="49" s="1"/>
  <c r="AB14" i="49" s="1"/>
  <c r="B9" i="25"/>
  <c r="AC9" i="49" s="1"/>
  <c r="AE9" i="49" s="1"/>
  <c r="C14" i="23"/>
  <c r="X14" i="49" s="1"/>
  <c r="B7" i="24"/>
  <c r="Z7" i="49" s="1"/>
  <c r="AB7" i="49" s="1"/>
  <c r="C31" i="27"/>
  <c r="AJ31" i="49" s="1"/>
  <c r="B13" i="23"/>
  <c r="C19" i="23"/>
  <c r="X19" i="49" s="1"/>
  <c r="B22" i="23"/>
  <c r="C26" i="21"/>
  <c r="R26" i="49" s="1"/>
  <c r="B33" i="21"/>
  <c r="Q33" i="49" s="1"/>
  <c r="S33" i="49" s="1"/>
  <c r="B14" i="22"/>
  <c r="T14" i="49" s="1"/>
  <c r="V14" i="49" s="1"/>
  <c r="C22" i="21"/>
  <c r="R22" i="49" s="1"/>
  <c r="B31" i="21"/>
  <c r="N29" i="3" s="1"/>
  <c r="B32" i="22"/>
  <c r="T32" i="49" s="1"/>
  <c r="V32" i="49" s="1"/>
  <c r="B31" i="23"/>
  <c r="C37" i="26"/>
  <c r="AF37" i="49" s="1"/>
  <c r="AH37" i="49" s="1"/>
  <c r="C9" i="25"/>
  <c r="AD9" i="49" s="1"/>
  <c r="C33" i="22"/>
  <c r="U33" i="49" s="1"/>
  <c r="C28" i="20"/>
  <c r="O28" i="49" s="1"/>
  <c r="B10" i="20"/>
  <c r="N10" i="49" s="1"/>
  <c r="P10" i="49" s="1"/>
  <c r="C17" i="20"/>
  <c r="O17" i="49" s="1"/>
  <c r="C20" i="24"/>
  <c r="AA20" i="49" s="1"/>
  <c r="B7" i="23"/>
  <c r="C13" i="23"/>
  <c r="X13" i="49" s="1"/>
  <c r="C26" i="27"/>
  <c r="AJ26" i="49" s="1"/>
  <c r="C20" i="21"/>
  <c r="R20" i="49" s="1"/>
  <c r="B27" i="21"/>
  <c r="Q27" i="49" s="1"/>
  <c r="S27" i="49" s="1"/>
  <c r="C23" i="22"/>
  <c r="U23" i="49" s="1"/>
  <c r="C32" i="22"/>
  <c r="B38" i="22"/>
  <c r="C13" i="24"/>
  <c r="AA13" i="49" s="1"/>
  <c r="C35" i="21"/>
  <c r="R35" i="49" s="1"/>
  <c r="B31" i="20"/>
  <c r="N31" i="49" s="1"/>
  <c r="P31" i="49" s="1"/>
  <c r="C35" i="20"/>
  <c r="O35" i="49" s="1"/>
  <c r="C12" i="24"/>
  <c r="C23" i="27"/>
  <c r="AJ23" i="49" s="1"/>
  <c r="C14" i="21"/>
  <c r="R14" i="49" s="1"/>
  <c r="B21" i="21"/>
  <c r="Q21" i="49" s="1"/>
  <c r="S21" i="49" s="1"/>
  <c r="C19" i="22"/>
  <c r="U19" i="49" s="1"/>
  <c r="C26" i="22"/>
  <c r="B33" i="22"/>
  <c r="T33" i="49" s="1"/>
  <c r="V33" i="49" s="1"/>
  <c r="C7" i="24"/>
  <c r="AA7" i="49" s="1"/>
  <c r="C31" i="21"/>
  <c r="B23" i="20"/>
  <c r="N23" i="49" s="1"/>
  <c r="P23" i="49" s="1"/>
  <c r="C31" i="20"/>
  <c r="O31" i="49" s="1"/>
  <c r="B20" i="23"/>
  <c r="B10" i="23"/>
  <c r="W10" i="49" s="1"/>
  <c r="Y10" i="49" s="1"/>
  <c r="C38" i="27"/>
  <c r="C28" i="19"/>
  <c r="L28" i="49" s="1"/>
  <c r="C7" i="23"/>
  <c r="X7" i="49" s="1"/>
  <c r="B34" i="24"/>
  <c r="Z34" i="49" s="1"/>
  <c r="AB34" i="49" s="1"/>
  <c r="C23" i="21"/>
  <c r="R23" i="49" s="1"/>
  <c r="B19" i="20"/>
  <c r="N19" i="49" s="1"/>
  <c r="P19" i="49" s="1"/>
  <c r="C23" i="20"/>
  <c r="O23" i="49" s="1"/>
  <c r="B34" i="21"/>
  <c r="N32" i="3" s="1"/>
  <c r="B14" i="23"/>
  <c r="W14" i="49" s="1"/>
  <c r="Y14" i="49" s="1"/>
  <c r="C27" i="23"/>
  <c r="X27" i="49" s="1"/>
  <c r="B34" i="20"/>
  <c r="N34" i="49" s="1"/>
  <c r="P34" i="49" s="1"/>
  <c r="C22" i="19"/>
  <c r="L22" i="49" s="1"/>
  <c r="C32" i="23"/>
  <c r="X32" i="49" s="1"/>
  <c r="C34" i="25"/>
  <c r="AD34" i="49" s="1"/>
  <c r="C26" i="23"/>
  <c r="X26" i="49" s="1"/>
  <c r="B9" i="37"/>
  <c r="C9" i="21"/>
  <c r="B17" i="21"/>
  <c r="Q17" i="49" s="1"/>
  <c r="S17" i="49" s="1"/>
  <c r="C13" i="22"/>
  <c r="C20" i="22"/>
  <c r="B27" i="22"/>
  <c r="T27" i="49" s="1"/>
  <c r="V27" i="49" s="1"/>
  <c r="B31" i="25"/>
  <c r="AC31" i="49" s="1"/>
  <c r="AE31" i="49" s="1"/>
  <c r="B28" i="20"/>
  <c r="N28" i="49" s="1"/>
  <c r="P28" i="49" s="1"/>
  <c r="C18" i="19"/>
  <c r="L18" i="49" s="1"/>
  <c r="C37" i="20"/>
  <c r="O37" i="49" s="1"/>
  <c r="C33" i="24"/>
  <c r="C22" i="25"/>
  <c r="AD22" i="49" s="1"/>
  <c r="C17" i="21"/>
  <c r="R17" i="49" s="1"/>
  <c r="C17" i="24"/>
  <c r="AA17" i="49" s="1"/>
  <c r="B14" i="28"/>
  <c r="AL14" i="49" s="1"/>
  <c r="AN14" i="49" s="1"/>
  <c r="C19" i="21"/>
  <c r="O17" i="3" s="1"/>
  <c r="B13" i="20"/>
  <c r="N13" i="49" s="1"/>
  <c r="P13" i="49" s="1"/>
  <c r="C19" i="20"/>
  <c r="O19" i="49" s="1"/>
  <c r="B28" i="21"/>
  <c r="Q28" i="49" s="1"/>
  <c r="S28" i="49" s="1"/>
  <c r="B9" i="23"/>
  <c r="W9" i="49" s="1"/>
  <c r="Y9" i="49" s="1"/>
  <c r="C21" i="23"/>
  <c r="X21" i="49" s="1"/>
  <c r="C18" i="26"/>
  <c r="B37" i="19"/>
  <c r="K37" i="49" s="1"/>
  <c r="M37" i="49" s="1"/>
  <c r="C13" i="26"/>
  <c r="AF13" i="49" s="1"/>
  <c r="AH13" i="49" s="1"/>
  <c r="B37" i="21"/>
  <c r="C34" i="22"/>
  <c r="C10" i="21"/>
  <c r="R10" i="49" s="1"/>
  <c r="B9" i="22"/>
  <c r="T9" i="49" s="1"/>
  <c r="V9" i="49" s="1"/>
  <c r="C18" i="21"/>
  <c r="B23" i="21"/>
  <c r="Q23" i="49" s="1"/>
  <c r="S23" i="49" s="1"/>
  <c r="C34" i="23"/>
  <c r="X34" i="49" s="1"/>
  <c r="B20" i="20"/>
  <c r="N20" i="49" s="1"/>
  <c r="P20" i="49" s="1"/>
  <c r="C23" i="23"/>
  <c r="X23" i="49" s="1"/>
  <c r="B10" i="22"/>
  <c r="T10" i="49" s="1"/>
  <c r="V10" i="49" s="1"/>
  <c r="B23" i="30"/>
  <c r="AR23" i="49" s="1"/>
  <c r="AT23" i="49" s="1"/>
  <c r="B22" i="20"/>
  <c r="N22" i="49" s="1"/>
  <c r="P22" i="49" s="1"/>
  <c r="C12" i="19"/>
  <c r="L12" i="49" s="1"/>
  <c r="C32" i="20"/>
  <c r="O32" i="49" s="1"/>
  <c r="C27" i="24"/>
  <c r="AA27" i="49" s="1"/>
  <c r="B32" i="21"/>
  <c r="Q32" i="49" s="1"/>
  <c r="S32" i="49" s="1"/>
  <c r="C28" i="22"/>
  <c r="B35" i="22"/>
  <c r="T35" i="49" s="1"/>
  <c r="V35" i="49" s="1"/>
  <c r="C12" i="21"/>
  <c r="O10" i="3" s="1"/>
  <c r="B19" i="21"/>
  <c r="N17" i="3" s="1"/>
  <c r="B20" i="24"/>
  <c r="Z20" i="49" s="1"/>
  <c r="AB20" i="49" s="1"/>
  <c r="C22" i="23"/>
  <c r="X22" i="49" s="1"/>
  <c r="B7" i="27"/>
  <c r="AI7" i="49" s="1"/>
  <c r="AK7" i="49" s="1"/>
  <c r="B14" i="20"/>
  <c r="N14" i="49" s="1"/>
  <c r="P14" i="49" s="1"/>
  <c r="B21" i="20"/>
  <c r="N21" i="49" s="1"/>
  <c r="P21" i="49" s="1"/>
  <c r="C27" i="20"/>
  <c r="O27" i="49" s="1"/>
  <c r="C19" i="19"/>
  <c r="L19" i="49" s="1"/>
  <c r="B19" i="23"/>
  <c r="C38" i="22"/>
  <c r="C34" i="20"/>
  <c r="O34" i="49" s="1"/>
  <c r="B9" i="20"/>
  <c r="N9" i="49" s="1"/>
  <c r="P9" i="49" s="1"/>
  <c r="B17" i="20"/>
  <c r="N17" i="49" s="1"/>
  <c r="P17" i="49" s="1"/>
  <c r="C21" i="20"/>
  <c r="O21" i="49" s="1"/>
  <c r="C12" i="23"/>
  <c r="X12" i="49" s="1"/>
  <c r="C13" i="19"/>
  <c r="L13" i="49" s="1"/>
  <c r="B13" i="24"/>
  <c r="Z13" i="49" s="1"/>
  <c r="AB13" i="49" s="1"/>
  <c r="C37" i="23"/>
  <c r="X37" i="49" s="1"/>
  <c r="B12" i="22"/>
  <c r="T12" i="49" s="1"/>
  <c r="V12" i="49" s="1"/>
  <c r="B19" i="24"/>
  <c r="Z19" i="49" s="1"/>
  <c r="AB19" i="49" s="1"/>
  <c r="B18" i="22"/>
  <c r="T18" i="49" s="1"/>
  <c r="V18" i="49" s="1"/>
  <c r="C31" i="22"/>
  <c r="U31" i="49" s="1"/>
  <c r="C37" i="22"/>
  <c r="C19" i="24"/>
  <c r="AA19" i="49" s="1"/>
  <c r="B35" i="20"/>
  <c r="N35" i="49" s="1"/>
  <c r="P35" i="49" s="1"/>
  <c r="C9" i="20"/>
  <c r="O9" i="49" s="1"/>
  <c r="B32" i="23"/>
  <c r="B21" i="23"/>
  <c r="B10" i="24"/>
  <c r="Z10" i="49" s="1"/>
  <c r="AB10" i="49" s="1"/>
  <c r="B9" i="27"/>
  <c r="AI9" i="49" s="1"/>
  <c r="AK9" i="49" s="1"/>
  <c r="C20" i="27"/>
  <c r="AJ20" i="49" s="1"/>
  <c r="C7" i="26"/>
  <c r="B38" i="23"/>
  <c r="W20" i="48" s="1"/>
  <c r="C35" i="25"/>
  <c r="AD35" i="49" s="1"/>
  <c r="B10" i="27"/>
  <c r="AI10" i="49" s="1"/>
  <c r="AK10" i="49" s="1"/>
  <c r="B26" i="23"/>
  <c r="W26" i="49" s="1"/>
  <c r="Y26" i="49" s="1"/>
  <c r="B17" i="23"/>
  <c r="C34" i="19"/>
  <c r="L34" i="49" s="1"/>
  <c r="C18" i="23"/>
  <c r="X18" i="49" s="1"/>
  <c r="D37" i="26"/>
  <c r="AG37" i="49" s="1"/>
  <c r="C17" i="23"/>
  <c r="X17" i="49" s="1"/>
  <c r="C21" i="24"/>
  <c r="AA21" i="49" s="1"/>
  <c r="C19" i="27"/>
  <c r="AJ19" i="49" s="1"/>
  <c r="C28" i="27"/>
  <c r="AJ28" i="49" s="1"/>
  <c r="B34" i="25"/>
  <c r="AC34" i="49" s="1"/>
  <c r="AE34" i="49" s="1"/>
  <c r="C10" i="33"/>
  <c r="B33" i="24"/>
  <c r="Z33" i="49" s="1"/>
  <c r="AB33" i="49" s="1"/>
  <c r="B32" i="27"/>
  <c r="AI32" i="49" s="1"/>
  <c r="AK32" i="49" s="1"/>
  <c r="B38" i="24"/>
  <c r="Z20" i="48" s="1"/>
  <c r="D26" i="26"/>
  <c r="AG26" i="49" s="1"/>
  <c r="B28" i="27"/>
  <c r="AI28" i="49" s="1"/>
  <c r="AK28" i="49" s="1"/>
  <c r="B7" i="22"/>
  <c r="T7" i="49" s="1"/>
  <c r="V7" i="49" s="1"/>
  <c r="B28" i="23"/>
  <c r="W28" i="49" s="1"/>
  <c r="Y28" i="49" s="1"/>
  <c r="C19" i="25"/>
  <c r="AD19" i="49" s="1"/>
  <c r="B26" i="24"/>
  <c r="Z26" i="49" s="1"/>
  <c r="AB26" i="49" s="1"/>
  <c r="B38" i="46"/>
  <c r="C38" i="23"/>
  <c r="C12" i="25"/>
  <c r="AD12" i="49" s="1"/>
  <c r="C34" i="27"/>
  <c r="AJ34" i="49" s="1"/>
  <c r="C10" i="22"/>
  <c r="C21" i="21"/>
  <c r="R21" i="49" s="1"/>
  <c r="B20" i="22"/>
  <c r="T20" i="49" s="1"/>
  <c r="V20" i="49" s="1"/>
  <c r="C28" i="21"/>
  <c r="R28" i="49" s="1"/>
  <c r="B35" i="21"/>
  <c r="Q35" i="49" s="1"/>
  <c r="S35" i="49" s="1"/>
  <c r="C14" i="26"/>
  <c r="AF14" i="49" s="1"/>
  <c r="AH14" i="49" s="1"/>
  <c r="D31" i="26"/>
  <c r="C37" i="24"/>
  <c r="B12" i="24"/>
  <c r="Z12" i="49" s="1"/>
  <c r="AB12" i="49" s="1"/>
  <c r="B26" i="20"/>
  <c r="N26" i="49" s="1"/>
  <c r="P26" i="49" s="1"/>
  <c r="B33" i="20"/>
  <c r="N33" i="49" s="1"/>
  <c r="P33" i="49" s="1"/>
  <c r="C38" i="20"/>
  <c r="C7" i="25"/>
  <c r="AD7" i="49" s="1"/>
  <c r="C23" i="29"/>
  <c r="AP23" i="49" s="1"/>
  <c r="B14" i="34"/>
  <c r="C26" i="24"/>
  <c r="B32" i="25"/>
  <c r="B35" i="25"/>
  <c r="AC35" i="49" s="1"/>
  <c r="AE35" i="49" s="1"/>
  <c r="C38" i="44"/>
  <c r="B28" i="25"/>
  <c r="AC28" i="49" s="1"/>
  <c r="AE28" i="49" s="1"/>
  <c r="C10" i="26"/>
  <c r="AF10" i="49" s="1"/>
  <c r="AH10" i="49" s="1"/>
  <c r="B27" i="20"/>
  <c r="N27" i="49" s="1"/>
  <c r="P27" i="49" s="1"/>
  <c r="C33" i="20"/>
  <c r="O33" i="49" s="1"/>
  <c r="C23" i="19"/>
  <c r="L23" i="49" s="1"/>
  <c r="C18" i="24"/>
  <c r="B23" i="24"/>
  <c r="Z23" i="49" s="1"/>
  <c r="AB23" i="49" s="1"/>
  <c r="D32" i="26"/>
  <c r="AG32" i="49" s="1"/>
  <c r="C14" i="27"/>
  <c r="AJ14" i="49" s="1"/>
  <c r="C22" i="26"/>
  <c r="AF22" i="49" s="1"/>
  <c r="AH22" i="49" s="1"/>
  <c r="B22" i="27"/>
  <c r="AI22" i="49" s="1"/>
  <c r="AK22" i="49" s="1"/>
  <c r="B33" i="23"/>
  <c r="C31" i="25"/>
  <c r="AD31" i="49" s="1"/>
  <c r="B32" i="24"/>
  <c r="Z32" i="49" s="1"/>
  <c r="AB32" i="49" s="1"/>
  <c r="D9" i="26"/>
  <c r="C26" i="26"/>
  <c r="B23" i="23"/>
  <c r="C31" i="23"/>
  <c r="X31" i="49" s="1"/>
  <c r="C9" i="24"/>
  <c r="B22" i="24"/>
  <c r="Z22" i="49" s="1"/>
  <c r="AB22" i="49" s="1"/>
  <c r="B19" i="25"/>
  <c r="B9" i="28"/>
  <c r="AL9" i="49" s="1"/>
  <c r="AN9" i="49" s="1"/>
  <c r="B32" i="35"/>
  <c r="B27" i="24"/>
  <c r="Z27" i="49" s="1"/>
  <c r="AB27" i="49" s="1"/>
  <c r="B26" i="27"/>
  <c r="AI26" i="49" s="1"/>
  <c r="AK26" i="49" s="1"/>
  <c r="D21" i="26"/>
  <c r="D23" i="26"/>
  <c r="AG23" i="49" s="1"/>
  <c r="C20" i="26"/>
  <c r="AF20" i="49" s="1"/>
  <c r="AH20" i="49" s="1"/>
  <c r="C32" i="26"/>
  <c r="AF32" i="49" s="1"/>
  <c r="AH32" i="49" s="1"/>
  <c r="B17" i="27"/>
  <c r="AI17" i="49" s="1"/>
  <c r="AK17" i="49" s="1"/>
  <c r="B34" i="23"/>
  <c r="C32" i="21"/>
  <c r="R32" i="49" s="1"/>
  <c r="B38" i="21"/>
  <c r="Q20" i="48" s="1"/>
  <c r="C35" i="22"/>
  <c r="U35" i="49" s="1"/>
  <c r="C23" i="24"/>
  <c r="AA23" i="49" s="1"/>
  <c r="C28" i="23"/>
  <c r="X28" i="49" s="1"/>
  <c r="C28" i="25"/>
  <c r="AD28" i="49" s="1"/>
  <c r="C13" i="25"/>
  <c r="AD13" i="49" s="1"/>
  <c r="C33" i="23"/>
  <c r="X33" i="49" s="1"/>
  <c r="C38" i="24"/>
  <c r="C35" i="27"/>
  <c r="AJ35" i="49" s="1"/>
  <c r="C32" i="24"/>
  <c r="D27" i="26"/>
  <c r="AG27" i="49" s="1"/>
  <c r="B26" i="29"/>
  <c r="AO26" i="49" s="1"/>
  <c r="AQ26" i="49" s="1"/>
  <c r="B26" i="25"/>
  <c r="B37" i="27"/>
  <c r="AI37" i="49" s="1"/>
  <c r="AK37" i="49" s="1"/>
  <c r="D33" i="26"/>
  <c r="B7" i="25"/>
  <c r="AC7" i="49" s="1"/>
  <c r="AE7" i="49" s="1"/>
  <c r="B38" i="25"/>
  <c r="AC20" i="48" s="1"/>
  <c r="C33" i="27"/>
  <c r="AJ33" i="49" s="1"/>
  <c r="C31" i="29"/>
  <c r="AP31" i="49" s="1"/>
  <c r="B37" i="34"/>
  <c r="C13" i="35"/>
  <c r="C35" i="29"/>
  <c r="AP35" i="49" s="1"/>
  <c r="B9" i="32"/>
  <c r="C27" i="32"/>
  <c r="B20" i="29"/>
  <c r="AO20" i="49" s="1"/>
  <c r="AQ20" i="49" s="1"/>
  <c r="C38" i="25"/>
  <c r="C10" i="24"/>
  <c r="C7" i="27"/>
  <c r="AJ7" i="49" s="1"/>
  <c r="B18" i="27"/>
  <c r="AI18" i="49" s="1"/>
  <c r="AK18" i="49" s="1"/>
  <c r="C22" i="27"/>
  <c r="AJ22" i="49" s="1"/>
  <c r="B34" i="27"/>
  <c r="AI34" i="49" s="1"/>
  <c r="AK34" i="49" s="1"/>
  <c r="B7" i="38"/>
  <c r="C35" i="28"/>
  <c r="AM35" i="49" s="1"/>
  <c r="B13" i="30"/>
  <c r="AR13" i="49" s="1"/>
  <c r="AT13" i="49" s="1"/>
  <c r="C14" i="37"/>
  <c r="C20" i="30"/>
  <c r="AS20" i="49" s="1"/>
  <c r="B31" i="31"/>
  <c r="B37" i="24"/>
  <c r="Z37" i="49" s="1"/>
  <c r="AB37" i="49" s="1"/>
  <c r="D14" i="26"/>
  <c r="AG14" i="49" s="1"/>
  <c r="B18" i="23"/>
  <c r="W18" i="49" s="1"/>
  <c r="Y18" i="49" s="1"/>
  <c r="D19" i="26"/>
  <c r="B13" i="29"/>
  <c r="AO13" i="49" s="1"/>
  <c r="AQ13" i="49" s="1"/>
  <c r="B27" i="46"/>
  <c r="C32" i="27"/>
  <c r="AJ32" i="49" s="1"/>
  <c r="D35" i="26"/>
  <c r="B10" i="28"/>
  <c r="AL10" i="49" s="1"/>
  <c r="AN10" i="49" s="1"/>
  <c r="B37" i="36"/>
  <c r="C37" i="27"/>
  <c r="AJ37" i="49" s="1"/>
  <c r="B21" i="28"/>
  <c r="AL21" i="49" s="1"/>
  <c r="AN21" i="49" s="1"/>
  <c r="B32" i="43"/>
  <c r="B32" i="28"/>
  <c r="AL32" i="49" s="1"/>
  <c r="AN32" i="49" s="1"/>
  <c r="B27" i="28"/>
  <c r="AL27" i="49" s="1"/>
  <c r="AN27" i="49" s="1"/>
  <c r="D10" i="26"/>
  <c r="AG10" i="49" s="1"/>
  <c r="C38" i="28"/>
  <c r="C32" i="28"/>
  <c r="AM32" i="49" s="1"/>
  <c r="B28" i="29"/>
  <c r="AO28" i="49" s="1"/>
  <c r="AQ28" i="49" s="1"/>
  <c r="C35" i="30"/>
  <c r="AS35" i="49" s="1"/>
  <c r="C14" i="39"/>
  <c r="D38" i="26"/>
  <c r="C32" i="30"/>
  <c r="AS32" i="49" s="1"/>
  <c r="C31" i="26"/>
  <c r="C21" i="25"/>
  <c r="AD21" i="49" s="1"/>
  <c r="B31" i="27"/>
  <c r="AI31" i="49" s="1"/>
  <c r="AK31" i="49" s="1"/>
  <c r="C10" i="29"/>
  <c r="AP10" i="49" s="1"/>
  <c r="D17" i="26"/>
  <c r="C17" i="29"/>
  <c r="AP17" i="49" s="1"/>
  <c r="B31" i="28"/>
  <c r="AL31" i="49" s="1"/>
  <c r="AN31" i="49" s="1"/>
  <c r="C27" i="38"/>
  <c r="C12" i="26"/>
  <c r="B12" i="26" s="1"/>
  <c r="C28" i="26"/>
  <c r="AF28" i="49" s="1"/>
  <c r="AH28" i="49" s="1"/>
  <c r="C34" i="26"/>
  <c r="C14" i="28"/>
  <c r="AM14" i="49" s="1"/>
  <c r="B33" i="27"/>
  <c r="AI33" i="49" s="1"/>
  <c r="AK33" i="49" s="1"/>
  <c r="C34" i="28"/>
  <c r="AM34" i="49" s="1"/>
  <c r="D34" i="26"/>
  <c r="AG32" i="4" s="1"/>
  <c r="B35" i="27"/>
  <c r="AI35" i="49" s="1"/>
  <c r="AK35" i="49" s="1"/>
  <c r="B22" i="35"/>
  <c r="B28" i="34"/>
  <c r="C26" i="30"/>
  <c r="AS26" i="49" s="1"/>
  <c r="B33" i="25"/>
  <c r="AC33" i="49" s="1"/>
  <c r="AE33" i="49" s="1"/>
  <c r="D20" i="26"/>
  <c r="AG20" i="49" s="1"/>
  <c r="C14" i="25"/>
  <c r="AD14" i="49" s="1"/>
  <c r="D12" i="26"/>
  <c r="AG10" i="4" s="1"/>
  <c r="C19" i="26"/>
  <c r="B13" i="27"/>
  <c r="AI13" i="49" s="1"/>
  <c r="AK13" i="49" s="1"/>
  <c r="B20" i="28"/>
  <c r="AL20" i="49" s="1"/>
  <c r="AN20" i="49" s="1"/>
  <c r="B35" i="30"/>
  <c r="AR35" i="49" s="1"/>
  <c r="AT35" i="49" s="1"/>
  <c r="C20" i="25"/>
  <c r="AD20" i="49" s="1"/>
  <c r="D18" i="26"/>
  <c r="AG16" i="4" s="1"/>
  <c r="C23" i="26"/>
  <c r="AF23" i="49" s="1"/>
  <c r="AH23" i="49" s="1"/>
  <c r="B19" i="27"/>
  <c r="AI19" i="49" s="1"/>
  <c r="AK19" i="49" s="1"/>
  <c r="B26" i="28"/>
  <c r="AL26" i="49" s="1"/>
  <c r="AN26" i="49" s="1"/>
  <c r="C26" i="25"/>
  <c r="AD26" i="49" s="1"/>
  <c r="D22" i="26"/>
  <c r="AG22" i="49" s="1"/>
  <c r="B23" i="27"/>
  <c r="AI23" i="49" s="1"/>
  <c r="AK23" i="49" s="1"/>
  <c r="B17" i="25"/>
  <c r="C35" i="26"/>
  <c r="AF35" i="49" s="1"/>
  <c r="AH35" i="49" s="1"/>
  <c r="B7" i="35"/>
  <c r="B14" i="32"/>
  <c r="B13" i="36"/>
  <c r="B37" i="29"/>
  <c r="AO37" i="49" s="1"/>
  <c r="AQ37" i="49" s="1"/>
  <c r="C17" i="26"/>
  <c r="AF17" i="49" s="1"/>
  <c r="AH17" i="49" s="1"/>
  <c r="B21" i="27"/>
  <c r="AI21" i="49" s="1"/>
  <c r="AK21" i="49" s="1"/>
  <c r="C10" i="25"/>
  <c r="AD10" i="49" s="1"/>
  <c r="C21" i="26"/>
  <c r="B27" i="27"/>
  <c r="AI27" i="49" s="1"/>
  <c r="AK27" i="49" s="1"/>
  <c r="B10" i="25"/>
  <c r="AC10" i="49" s="1"/>
  <c r="AE10" i="49" s="1"/>
  <c r="C17" i="25"/>
  <c r="AD17" i="49" s="1"/>
  <c r="C27" i="26"/>
  <c r="AF27" i="49" s="1"/>
  <c r="AH27" i="49" s="1"/>
  <c r="C32" i="25"/>
  <c r="AD32" i="49" s="1"/>
  <c r="B37" i="28"/>
  <c r="AL37" i="49" s="1"/>
  <c r="AN37" i="49" s="1"/>
  <c r="C37" i="25"/>
  <c r="AD37" i="49" s="1"/>
  <c r="B19" i="31"/>
  <c r="B7" i="29"/>
  <c r="AO7" i="49" s="1"/>
  <c r="AQ7" i="49" s="1"/>
  <c r="B38" i="28"/>
  <c r="C31" i="30"/>
  <c r="AS31" i="49" s="1"/>
  <c r="C21" i="38"/>
  <c r="B10" i="30"/>
  <c r="AR10" i="49" s="1"/>
  <c r="AT10" i="49" s="1"/>
  <c r="B22" i="25"/>
  <c r="AC22" i="49" s="1"/>
  <c r="AE22" i="49" s="1"/>
  <c r="B12" i="23"/>
  <c r="W12" i="49" s="1"/>
  <c r="Y12" i="49" s="1"/>
  <c r="C18" i="25"/>
  <c r="AD18" i="49" s="1"/>
  <c r="B27" i="25"/>
  <c r="AC27" i="49" s="1"/>
  <c r="AE27" i="49" s="1"/>
  <c r="C33" i="25"/>
  <c r="AD33" i="49" s="1"/>
  <c r="C10" i="27"/>
  <c r="AJ10" i="49" s="1"/>
  <c r="C17" i="27"/>
  <c r="AJ17" i="49" s="1"/>
  <c r="D28" i="26"/>
  <c r="AG28" i="49" s="1"/>
  <c r="B34" i="38"/>
  <c r="C9" i="29"/>
  <c r="AP9" i="49" s="1"/>
  <c r="C31" i="32"/>
  <c r="C38" i="34"/>
  <c r="C37" i="28"/>
  <c r="AM37" i="49" s="1"/>
  <c r="B34" i="29"/>
  <c r="AO34" i="49" s="1"/>
  <c r="AQ34" i="49" s="1"/>
  <c r="B17" i="32"/>
  <c r="C38" i="29"/>
  <c r="B38" i="43"/>
  <c r="D7" i="26"/>
  <c r="Y5" i="3" s="1"/>
  <c r="B34" i="28"/>
  <c r="AL34" i="49" s="1"/>
  <c r="AN34" i="49" s="1"/>
  <c r="C26" i="46"/>
  <c r="C9" i="27"/>
  <c r="AJ9" i="49" s="1"/>
  <c r="D13" i="26"/>
  <c r="AG13" i="49" s="1"/>
  <c r="C32" i="46"/>
  <c r="C9" i="39"/>
  <c r="C33" i="30"/>
  <c r="AS33" i="49" s="1"/>
  <c r="B19" i="38"/>
  <c r="B9" i="29"/>
  <c r="AO9" i="49" s="1"/>
  <c r="AQ9" i="49" s="1"/>
  <c r="C14" i="29"/>
  <c r="AP14" i="49" s="1"/>
  <c r="C10" i="28"/>
  <c r="AM10" i="49" s="1"/>
  <c r="C35" i="32"/>
  <c r="C10" i="35"/>
  <c r="C13" i="30"/>
  <c r="AS13" i="49" s="1"/>
  <c r="C12" i="29"/>
  <c r="AP12" i="49" s="1"/>
  <c r="C18" i="31"/>
  <c r="AV16" i="4" s="1"/>
  <c r="B31" i="39"/>
  <c r="B27" i="32"/>
  <c r="C28" i="36"/>
  <c r="C23" i="32"/>
  <c r="C31" i="28"/>
  <c r="AM31" i="49" s="1"/>
  <c r="C9" i="30"/>
  <c r="AS9" i="49" s="1"/>
  <c r="B23" i="28"/>
  <c r="AL23" i="49" s="1"/>
  <c r="AN23" i="49" s="1"/>
  <c r="C33" i="34"/>
  <c r="B23" i="31"/>
  <c r="AU23" i="49" s="1"/>
  <c r="AW23" i="49" s="1"/>
  <c r="C17" i="36"/>
  <c r="C12" i="34"/>
  <c r="C22" i="39"/>
  <c r="B38" i="29"/>
  <c r="C33" i="29"/>
  <c r="AP33" i="49" s="1"/>
  <c r="B37" i="30"/>
  <c r="AR37" i="49" s="1"/>
  <c r="AT37" i="49" s="1"/>
  <c r="B22" i="34"/>
  <c r="B21" i="35"/>
  <c r="C34" i="43"/>
  <c r="C20" i="28"/>
  <c r="AM20" i="49" s="1"/>
  <c r="B33" i="33"/>
  <c r="B38" i="33"/>
  <c r="B32" i="29"/>
  <c r="AO32" i="49" s="1"/>
  <c r="AQ32" i="49" s="1"/>
  <c r="C37" i="29"/>
  <c r="AP37" i="49" s="1"/>
  <c r="C33" i="28"/>
  <c r="AM33" i="49" s="1"/>
  <c r="B28" i="28"/>
  <c r="AL28" i="49" s="1"/>
  <c r="AN28" i="49" s="1"/>
  <c r="C28" i="28"/>
  <c r="AM28" i="49" s="1"/>
  <c r="C20" i="37"/>
  <c r="C14" i="46"/>
  <c r="B28" i="35"/>
  <c r="B7" i="32"/>
  <c r="C27" i="30"/>
  <c r="AS27" i="49" s="1"/>
  <c r="C33" i="32"/>
  <c r="B9" i="42"/>
  <c r="C20" i="43"/>
  <c r="C26" i="29"/>
  <c r="AP26" i="49" s="1"/>
  <c r="C21" i="28"/>
  <c r="AM21" i="49" s="1"/>
  <c r="B18" i="28"/>
  <c r="AL18" i="49" s="1"/>
  <c r="AN18" i="49" s="1"/>
  <c r="C18" i="28"/>
  <c r="AM18" i="49" s="1"/>
  <c r="C14" i="33"/>
  <c r="B20" i="36"/>
  <c r="C37" i="42"/>
  <c r="C20" i="33"/>
  <c r="B17" i="29"/>
  <c r="AO17" i="49" s="1"/>
  <c r="AQ17" i="49" s="1"/>
  <c r="C33" i="26"/>
  <c r="AF33" i="49" s="1"/>
  <c r="AH33" i="49" s="1"/>
  <c r="B38" i="27"/>
  <c r="AI20" i="48" s="1"/>
  <c r="B21" i="25"/>
  <c r="C27" i="25"/>
  <c r="AD27" i="49" s="1"/>
  <c r="B21" i="29"/>
  <c r="AO21" i="49" s="1"/>
  <c r="AQ21" i="49" s="1"/>
  <c r="B7" i="34"/>
  <c r="C19" i="29"/>
  <c r="AP19" i="49" s="1"/>
  <c r="C14" i="35"/>
  <c r="B9" i="34"/>
  <c r="C13" i="43"/>
  <c r="C26" i="28"/>
  <c r="AM26" i="49" s="1"/>
  <c r="B33" i="28"/>
  <c r="AL33" i="49" s="1"/>
  <c r="AN33" i="49" s="1"/>
  <c r="B22" i="29"/>
  <c r="AO22" i="49" s="1"/>
  <c r="AQ22" i="49" s="1"/>
  <c r="C17" i="38"/>
  <c r="B33" i="29"/>
  <c r="AO33" i="49" s="1"/>
  <c r="AQ33" i="49" s="1"/>
  <c r="C27" i="29"/>
  <c r="AP27" i="49" s="1"/>
  <c r="B18" i="34"/>
  <c r="B14" i="29"/>
  <c r="AO14" i="49" s="1"/>
  <c r="AQ14" i="49" s="1"/>
  <c r="C20" i="29"/>
  <c r="AP20" i="49" s="1"/>
  <c r="C17" i="28"/>
  <c r="AM17" i="49" s="1"/>
  <c r="B12" i="28"/>
  <c r="AL12" i="49" s="1"/>
  <c r="AN12" i="49" s="1"/>
  <c r="C12" i="28"/>
  <c r="AM12" i="49" s="1"/>
  <c r="C9" i="33"/>
  <c r="C33" i="35"/>
  <c r="C32" i="42"/>
  <c r="B33" i="42"/>
  <c r="B9" i="30"/>
  <c r="AR9" i="49" s="1"/>
  <c r="AT9" i="49" s="1"/>
  <c r="C19" i="34"/>
  <c r="C21" i="27"/>
  <c r="AJ21" i="49" s="1"/>
  <c r="C12" i="30"/>
  <c r="AS12" i="49" s="1"/>
  <c r="C27" i="27"/>
  <c r="AJ27" i="49" s="1"/>
  <c r="C18" i="30"/>
  <c r="AS18" i="49" s="1"/>
  <c r="C9" i="28"/>
  <c r="AM9" i="49" s="1"/>
  <c r="B17" i="28"/>
  <c r="AL17" i="49" s="1"/>
  <c r="AN17" i="49" s="1"/>
  <c r="C37" i="30"/>
  <c r="AS37" i="49" s="1"/>
  <c r="B26" i="43"/>
  <c r="B27" i="29"/>
  <c r="AO27" i="49" s="1"/>
  <c r="AQ27" i="49" s="1"/>
  <c r="C21" i="29"/>
  <c r="AP21" i="49" s="1"/>
  <c r="C9" i="34"/>
  <c r="B35" i="28"/>
  <c r="AL35" i="49" s="1"/>
  <c r="AN35" i="49" s="1"/>
  <c r="C7" i="29"/>
  <c r="AP7" i="49" s="1"/>
  <c r="C34" i="36"/>
  <c r="C32" i="40"/>
  <c r="C32" i="29"/>
  <c r="AP32" i="49" s="1"/>
  <c r="C27" i="28"/>
  <c r="AM27" i="49" s="1"/>
  <c r="B22" i="28"/>
  <c r="AL22" i="49" s="1"/>
  <c r="AN22" i="49" s="1"/>
  <c r="C22" i="28"/>
  <c r="AM22" i="49" s="1"/>
  <c r="C10" i="30"/>
  <c r="AS10" i="49" s="1"/>
  <c r="C12" i="27"/>
  <c r="AJ12" i="49" s="1"/>
  <c r="C21" i="30"/>
  <c r="AS21" i="49" s="1"/>
  <c r="C7" i="33"/>
  <c r="B12" i="27"/>
  <c r="AI12" i="49" s="1"/>
  <c r="AK12" i="49" s="1"/>
  <c r="C18" i="27"/>
  <c r="AJ18" i="49" s="1"/>
  <c r="B10" i="29"/>
  <c r="AO10" i="49" s="1"/>
  <c r="AQ10" i="49" s="1"/>
  <c r="C26" i="43"/>
  <c r="B37" i="35"/>
  <c r="B22" i="30"/>
  <c r="AR22" i="49" s="1"/>
  <c r="AT22" i="49" s="1"/>
  <c r="C22" i="36"/>
  <c r="C18" i="34"/>
  <c r="C20" i="40"/>
  <c r="C23" i="30"/>
  <c r="AS23" i="49" s="1"/>
  <c r="C14" i="30"/>
  <c r="AS14" i="49" s="1"/>
  <c r="C22" i="29"/>
  <c r="AP22" i="49" s="1"/>
  <c r="C22" i="31"/>
  <c r="AV22" i="49" s="1"/>
  <c r="B27" i="40"/>
  <c r="B38" i="32"/>
  <c r="B13" i="33"/>
  <c r="C7" i="43"/>
  <c r="B34" i="34"/>
  <c r="B20" i="42"/>
  <c r="C37" i="40"/>
  <c r="B10" i="45"/>
  <c r="C23" i="35"/>
  <c r="B10" i="33"/>
  <c r="C32" i="35"/>
  <c r="B17" i="36"/>
  <c r="B10" i="44"/>
  <c r="B7" i="28"/>
  <c r="AL7" i="49" s="1"/>
  <c r="AN7" i="49" s="1"/>
  <c r="B22" i="31"/>
  <c r="AU22" i="49" s="1"/>
  <c r="AW22" i="49" s="1"/>
  <c r="B17" i="31"/>
  <c r="B33" i="39"/>
  <c r="C9" i="38"/>
  <c r="B31" i="37"/>
  <c r="C22" i="32"/>
  <c r="B34" i="43"/>
  <c r="B36" i="43" s="1"/>
  <c r="C19" i="32"/>
  <c r="B26" i="35"/>
  <c r="B7" i="31"/>
  <c r="B37" i="31"/>
  <c r="C35" i="42"/>
  <c r="C28" i="34"/>
  <c r="B12" i="32"/>
  <c r="B31" i="32"/>
  <c r="B32" i="42"/>
  <c r="C9" i="44"/>
  <c r="B17" i="44"/>
  <c r="B17" i="38"/>
  <c r="B9" i="36"/>
  <c r="C27" i="41"/>
  <c r="C31" i="40"/>
  <c r="C31" i="36"/>
  <c r="C34" i="40"/>
  <c r="B37" i="46"/>
  <c r="C26" i="38"/>
  <c r="C38" i="38"/>
  <c r="C9" i="41"/>
  <c r="C23" i="38"/>
  <c r="C13" i="39"/>
  <c r="C7" i="42"/>
  <c r="B37" i="39"/>
  <c r="B12" i="40"/>
  <c r="C28" i="31"/>
  <c r="AV28" i="49" s="1"/>
  <c r="C7" i="37"/>
  <c r="B38" i="40"/>
  <c r="B19" i="29"/>
  <c r="AO19" i="49" s="1"/>
  <c r="AQ19" i="49" s="1"/>
  <c r="C7" i="31"/>
  <c r="AV7" i="49" s="1"/>
  <c r="C9" i="31"/>
  <c r="AV7" i="4" s="1"/>
  <c r="C19" i="33"/>
  <c r="B18" i="31"/>
  <c r="AU18" i="49" s="1"/>
  <c r="AW18" i="49" s="1"/>
  <c r="B38" i="36"/>
  <c r="B10" i="31"/>
  <c r="AU10" i="49" s="1"/>
  <c r="AW10" i="49" s="1"/>
  <c r="B21" i="39"/>
  <c r="C13" i="37"/>
  <c r="B22" i="43"/>
  <c r="B21" i="45"/>
  <c r="B35" i="29"/>
  <c r="AO35" i="49" s="1"/>
  <c r="AQ35" i="49" s="1"/>
  <c r="C13" i="32"/>
  <c r="B20" i="35"/>
  <c r="C31" i="31"/>
  <c r="B26" i="31"/>
  <c r="C31" i="38"/>
  <c r="B19" i="30"/>
  <c r="AR19" i="49" s="1"/>
  <c r="AT19" i="49" s="1"/>
  <c r="B32" i="30"/>
  <c r="AR32" i="49" s="1"/>
  <c r="AT32" i="49" s="1"/>
  <c r="C12" i="31"/>
  <c r="AV12" i="49" s="1"/>
  <c r="B10" i="32"/>
  <c r="C21" i="32"/>
  <c r="C22" i="35"/>
  <c r="C20" i="42"/>
  <c r="B23" i="39"/>
  <c r="C31" i="46"/>
  <c r="B21" i="32"/>
  <c r="C38" i="32"/>
  <c r="C22" i="30"/>
  <c r="AS22" i="49" s="1"/>
  <c r="C28" i="35"/>
  <c r="C22" i="45"/>
  <c r="B35" i="45"/>
  <c r="C38" i="36"/>
  <c r="C37" i="37"/>
  <c r="B28" i="40"/>
  <c r="C12" i="46"/>
  <c r="C19" i="37"/>
  <c r="C12" i="43"/>
  <c r="B14" i="39"/>
  <c r="B32" i="46"/>
  <c r="C20" i="38"/>
  <c r="C33" i="38"/>
  <c r="C19" i="38"/>
  <c r="C7" i="39"/>
  <c r="B37" i="38"/>
  <c r="B19" i="39"/>
  <c r="B26" i="42"/>
  <c r="C34" i="41"/>
  <c r="B17" i="45"/>
  <c r="B31" i="29"/>
  <c r="AO31" i="49" s="1"/>
  <c r="AQ31" i="49" s="1"/>
  <c r="C7" i="32"/>
  <c r="B14" i="35"/>
  <c r="C23" i="31"/>
  <c r="AV23" i="49" s="1"/>
  <c r="C20" i="31"/>
  <c r="C31" i="33"/>
  <c r="B20" i="46"/>
  <c r="B7" i="30"/>
  <c r="AR7" i="49" s="1"/>
  <c r="AT7" i="49" s="1"/>
  <c r="B26" i="30"/>
  <c r="AR26" i="49" s="1"/>
  <c r="AT26" i="49" s="1"/>
  <c r="C10" i="32"/>
  <c r="B28" i="32"/>
  <c r="C18" i="35"/>
  <c r="B13" i="39"/>
  <c r="C23" i="46"/>
  <c r="C18" i="45"/>
  <c r="B20" i="43"/>
  <c r="B12" i="33"/>
  <c r="C22" i="33"/>
  <c r="B21" i="31"/>
  <c r="AU21" i="49" s="1"/>
  <c r="AW21" i="49" s="1"/>
  <c r="B13" i="35"/>
  <c r="B12" i="45"/>
  <c r="C37" i="46"/>
  <c r="B18" i="42"/>
  <c r="B14" i="31"/>
  <c r="AU14" i="49" s="1"/>
  <c r="AW14" i="49" s="1"/>
  <c r="B28" i="41"/>
  <c r="C37" i="41"/>
  <c r="C26" i="34"/>
  <c r="B7" i="43"/>
  <c r="B32" i="40"/>
  <c r="C22" i="40"/>
  <c r="B32" i="31"/>
  <c r="AU32" i="49" s="1"/>
  <c r="AW32" i="49" s="1"/>
  <c r="C31" i="42"/>
  <c r="C31" i="43"/>
  <c r="C28" i="43"/>
  <c r="C33" i="44"/>
  <c r="B9" i="43"/>
  <c r="B17" i="41"/>
  <c r="B12" i="44"/>
  <c r="C19" i="36"/>
  <c r="C26" i="33"/>
  <c r="C34" i="31"/>
  <c r="B18" i="36"/>
  <c r="C9" i="32"/>
  <c r="B23" i="33"/>
  <c r="B33" i="36"/>
  <c r="B23" i="29"/>
  <c r="AO23" i="49" s="1"/>
  <c r="AQ23" i="49" s="1"/>
  <c r="B9" i="35"/>
  <c r="C19" i="31"/>
  <c r="C14" i="31"/>
  <c r="C23" i="33"/>
  <c r="B14" i="46"/>
  <c r="B20" i="30"/>
  <c r="AR20" i="49" s="1"/>
  <c r="AT20" i="49" s="1"/>
  <c r="C12" i="35"/>
  <c r="B10" i="38"/>
  <c r="C19" i="46"/>
  <c r="C37" i="32"/>
  <c r="B28" i="33"/>
  <c r="C12" i="45"/>
  <c r="B12" i="42"/>
  <c r="C19" i="28"/>
  <c r="AM19" i="49" s="1"/>
  <c r="C27" i="34"/>
  <c r="B18" i="35"/>
  <c r="B35" i="31"/>
  <c r="AU35" i="49" s="1"/>
  <c r="AW35" i="49" s="1"/>
  <c r="C12" i="36"/>
  <c r="B20" i="34"/>
  <c r="C23" i="37"/>
  <c r="C33" i="36"/>
  <c r="B26" i="46"/>
  <c r="B33" i="37"/>
  <c r="C14" i="38"/>
  <c r="C20" i="34"/>
  <c r="C38" i="43"/>
  <c r="C23" i="42"/>
  <c r="C37" i="34"/>
  <c r="B19" i="43"/>
  <c r="C35" i="44"/>
  <c r="C23" i="43"/>
  <c r="C37" i="43"/>
  <c r="C35" i="46"/>
  <c r="C22" i="43"/>
  <c r="C27" i="44"/>
  <c r="C26" i="44"/>
  <c r="C14" i="45"/>
  <c r="B14" i="42"/>
  <c r="B23" i="46"/>
  <c r="B31" i="30"/>
  <c r="AR31" i="49" s="1"/>
  <c r="AT31" i="49" s="1"/>
  <c r="B12" i="36"/>
  <c r="C17" i="30"/>
  <c r="AS17" i="49" s="1"/>
  <c r="C18" i="29"/>
  <c r="AP18" i="49" s="1"/>
  <c r="C21" i="33"/>
  <c r="B19" i="34"/>
  <c r="C31" i="34"/>
  <c r="B10" i="37"/>
  <c r="B32" i="45"/>
  <c r="B14" i="30"/>
  <c r="AR14" i="49" s="1"/>
  <c r="AT14" i="49" s="1"/>
  <c r="C37" i="33"/>
  <c r="C35" i="36"/>
  <c r="C26" i="32"/>
  <c r="C18" i="33"/>
  <c r="B35" i="33"/>
  <c r="C9" i="37"/>
  <c r="C34" i="29"/>
  <c r="AP34" i="49" s="1"/>
  <c r="C13" i="28"/>
  <c r="AM13" i="49" s="1"/>
  <c r="C21" i="34"/>
  <c r="C33" i="31"/>
  <c r="AV33" i="49" s="1"/>
  <c r="B32" i="38"/>
  <c r="C26" i="36"/>
  <c r="B18" i="29"/>
  <c r="AO18" i="49" s="1"/>
  <c r="AQ18" i="49" s="1"/>
  <c r="B38" i="30"/>
  <c r="B7" i="36"/>
  <c r="C13" i="36"/>
  <c r="B21" i="42"/>
  <c r="C23" i="41"/>
  <c r="B35" i="34"/>
  <c r="B14" i="37"/>
  <c r="C28" i="39"/>
  <c r="C18" i="44"/>
  <c r="C27" i="42"/>
  <c r="B7" i="37"/>
  <c r="C10" i="31"/>
  <c r="AV10" i="49" s="1"/>
  <c r="C27" i="33"/>
  <c r="C7" i="36"/>
  <c r="B20" i="39"/>
  <c r="B27" i="38"/>
  <c r="B26" i="38"/>
  <c r="B7" i="39"/>
  <c r="C26" i="41"/>
  <c r="C23" i="28"/>
  <c r="AM23" i="49" s="1"/>
  <c r="B20" i="32"/>
  <c r="B17" i="30"/>
  <c r="AR17" i="49" s="1"/>
  <c r="AT17" i="49" s="1"/>
  <c r="C22" i="34"/>
  <c r="B33" i="35"/>
  <c r="B19" i="32"/>
  <c r="C32" i="33"/>
  <c r="C23" i="36"/>
  <c r="C14" i="32"/>
  <c r="C12" i="33"/>
  <c r="B31" i="33"/>
  <c r="C38" i="30"/>
  <c r="C28" i="29"/>
  <c r="AP28" i="49" s="1"/>
  <c r="C7" i="28"/>
  <c r="AM7" i="49" s="1"/>
  <c r="C17" i="34"/>
  <c r="C38" i="33"/>
  <c r="B31" i="34"/>
  <c r="C27" i="31"/>
  <c r="B27" i="37"/>
  <c r="B12" i="29"/>
  <c r="AO12" i="49" s="1"/>
  <c r="AQ12" i="49" s="1"/>
  <c r="B37" i="32"/>
  <c r="B33" i="30"/>
  <c r="AR33" i="49" s="1"/>
  <c r="AT33" i="49" s="1"/>
  <c r="C20" i="36"/>
  <c r="C19" i="41"/>
  <c r="B27" i="33"/>
  <c r="B31" i="45"/>
  <c r="C20" i="32"/>
  <c r="C17" i="35"/>
  <c r="B34" i="35"/>
  <c r="B31" i="38"/>
  <c r="C19" i="45"/>
  <c r="C35" i="37"/>
  <c r="C17" i="44"/>
  <c r="B38" i="37"/>
  <c r="B21" i="38"/>
  <c r="B20" i="38"/>
  <c r="B32" i="37"/>
  <c r="B14" i="41"/>
  <c r="C20" i="41"/>
  <c r="C35" i="38"/>
  <c r="C12" i="39"/>
  <c r="C23" i="39"/>
  <c r="C19" i="42"/>
  <c r="C19" i="35"/>
  <c r="C26" i="35"/>
  <c r="B35" i="37"/>
  <c r="C32" i="43"/>
  <c r="C10" i="34"/>
  <c r="C33" i="33"/>
  <c r="B23" i="34"/>
  <c r="C35" i="34"/>
  <c r="C21" i="31"/>
  <c r="AV21" i="49" s="1"/>
  <c r="B21" i="37"/>
  <c r="B37" i="45"/>
  <c r="B32" i="32"/>
  <c r="B27" i="30"/>
  <c r="AR27" i="49" s="1"/>
  <c r="AT27" i="49" s="1"/>
  <c r="B37" i="33"/>
  <c r="C35" i="35"/>
  <c r="B21" i="33"/>
  <c r="B23" i="45"/>
  <c r="C37" i="45"/>
  <c r="B19" i="28"/>
  <c r="AL19" i="49" s="1"/>
  <c r="AN19" i="49" s="1"/>
  <c r="C19" i="30"/>
  <c r="AS19" i="49" s="1"/>
  <c r="B34" i="31"/>
  <c r="AU34" i="49" s="1"/>
  <c r="AW34" i="49" s="1"/>
  <c r="C10" i="36"/>
  <c r="B12" i="34"/>
  <c r="C32" i="37"/>
  <c r="C18" i="39"/>
  <c r="B37" i="41"/>
  <c r="B9" i="31"/>
  <c r="AU9" i="49" s="1"/>
  <c r="AW9" i="49" s="1"/>
  <c r="C26" i="31"/>
  <c r="AV24" i="4" s="1"/>
  <c r="C35" i="33"/>
  <c r="C38" i="31"/>
  <c r="C32" i="31"/>
  <c r="AV32" i="49" s="1"/>
  <c r="B21" i="41"/>
  <c r="B28" i="44"/>
  <c r="B19" i="41"/>
  <c r="C13" i="31"/>
  <c r="AV13" i="49" s="1"/>
  <c r="B19" i="40"/>
  <c r="B23" i="40"/>
  <c r="B33" i="45"/>
  <c r="B35" i="43"/>
  <c r="B13" i="46"/>
  <c r="C9" i="43"/>
  <c r="C7" i="46"/>
  <c r="C12" i="44"/>
  <c r="C7" i="35"/>
  <c r="B38" i="42"/>
  <c r="B12" i="31"/>
  <c r="AU12" i="49" s="1"/>
  <c r="AW12" i="49" s="1"/>
  <c r="C18" i="36"/>
  <c r="B34" i="30"/>
  <c r="AR34" i="49" s="1"/>
  <c r="AT34" i="49" s="1"/>
  <c r="B23" i="38"/>
  <c r="B26" i="32"/>
  <c r="B21" i="30"/>
  <c r="AR21" i="49" s="1"/>
  <c r="AT21" i="49" s="1"/>
  <c r="C34" i="34"/>
  <c r="B38" i="35"/>
  <c r="B23" i="32"/>
  <c r="C31" i="35"/>
  <c r="B17" i="33"/>
  <c r="C37" i="35"/>
  <c r="C21" i="36"/>
  <c r="B13" i="45"/>
  <c r="C32" i="45"/>
  <c r="B13" i="28"/>
  <c r="AL13" i="49" s="1"/>
  <c r="AN13" i="49" s="1"/>
  <c r="C7" i="30"/>
  <c r="AS7" i="49" s="1"/>
  <c r="B28" i="31"/>
  <c r="AU28" i="49" s="1"/>
  <c r="AW28" i="49" s="1"/>
  <c r="B19" i="37"/>
  <c r="B38" i="31"/>
  <c r="AU20" i="48" s="1"/>
  <c r="B38" i="39"/>
  <c r="B32" i="41"/>
  <c r="C34" i="32"/>
  <c r="C35" i="31"/>
  <c r="AV35" i="49" s="1"/>
  <c r="C27" i="36"/>
  <c r="B23" i="37"/>
  <c r="C14" i="34"/>
  <c r="C32" i="41"/>
  <c r="B10" i="41"/>
  <c r="B22" i="44"/>
  <c r="B22" i="32"/>
  <c r="B13" i="40"/>
  <c r="B33" i="41"/>
  <c r="B37" i="43"/>
  <c r="B27" i="45"/>
  <c r="B31" i="43"/>
  <c r="B7" i="46"/>
  <c r="B33" i="44"/>
  <c r="B14" i="45"/>
  <c r="B13" i="32"/>
  <c r="C19" i="43"/>
  <c r="B18" i="44"/>
  <c r="B18" i="32"/>
  <c r="C32" i="44"/>
  <c r="B38" i="44"/>
  <c r="C7" i="45"/>
  <c r="B22" i="40"/>
  <c r="C17" i="45"/>
  <c r="C9" i="35"/>
  <c r="B33" i="32"/>
  <c r="B18" i="30"/>
  <c r="AR18" i="49" s="1"/>
  <c r="AT18" i="49" s="1"/>
  <c r="C34" i="30"/>
  <c r="AS34" i="49" s="1"/>
  <c r="B7" i="33"/>
  <c r="B27" i="34"/>
  <c r="B32" i="44"/>
  <c r="C33" i="46"/>
  <c r="B31" i="42"/>
  <c r="C32" i="34"/>
  <c r="B27" i="41"/>
  <c r="B13" i="43"/>
  <c r="C10" i="44"/>
  <c r="B9" i="39"/>
  <c r="C17" i="32"/>
  <c r="B34" i="32"/>
  <c r="B14" i="33"/>
  <c r="C31" i="45"/>
  <c r="B34" i="36"/>
  <c r="B38" i="41"/>
  <c r="C13" i="38"/>
  <c r="C18" i="43"/>
  <c r="B14" i="38"/>
  <c r="B23" i="43"/>
  <c r="C21" i="44"/>
  <c r="B34" i="44"/>
  <c r="C34" i="44"/>
  <c r="B34" i="40"/>
  <c r="B26" i="37"/>
  <c r="C20" i="44"/>
  <c r="B27" i="44"/>
  <c r="B9" i="45"/>
  <c r="C9" i="45"/>
  <c r="B9" i="41"/>
  <c r="B32" i="33"/>
  <c r="B18" i="43"/>
  <c r="C38" i="39"/>
  <c r="B7" i="45"/>
  <c r="C14" i="40"/>
  <c r="B21" i="40"/>
  <c r="C27" i="40"/>
  <c r="B7" i="42"/>
  <c r="C18" i="38"/>
  <c r="C21" i="43"/>
  <c r="C19" i="39"/>
  <c r="B19" i="46"/>
  <c r="C13" i="42"/>
  <c r="C37" i="44"/>
  <c r="C13" i="45"/>
  <c r="B26" i="45"/>
  <c r="C26" i="45"/>
  <c r="B26" i="41"/>
  <c r="B18" i="40"/>
  <c r="C10" i="45"/>
  <c r="B12" i="30"/>
  <c r="AR12" i="49" s="1"/>
  <c r="AT12" i="49" s="1"/>
  <c r="C28" i="30"/>
  <c r="AS28" i="49" s="1"/>
  <c r="C34" i="35"/>
  <c r="B17" i="34"/>
  <c r="B20" i="44"/>
  <c r="C21" i="46"/>
  <c r="C12" i="37"/>
  <c r="B23" i="42"/>
  <c r="B22" i="33"/>
  <c r="C34" i="33"/>
  <c r="B33" i="31"/>
  <c r="AU33" i="49" s="1"/>
  <c r="AW33" i="49" s="1"/>
  <c r="C9" i="36"/>
  <c r="B35" i="36"/>
  <c r="C33" i="37"/>
  <c r="B34" i="37"/>
  <c r="B9" i="33"/>
  <c r="C23" i="45"/>
  <c r="B12" i="46"/>
  <c r="C20" i="35"/>
  <c r="B28" i="30"/>
  <c r="AR28" i="49" s="1"/>
  <c r="AT28" i="49" s="1"/>
  <c r="B19" i="33"/>
  <c r="B38" i="34"/>
  <c r="B35" i="32"/>
  <c r="B20" i="37"/>
  <c r="B37" i="42"/>
  <c r="C14" i="44"/>
  <c r="B21" i="44"/>
  <c r="C34" i="39"/>
  <c r="B26" i="33"/>
  <c r="B12" i="43"/>
  <c r="C33" i="39"/>
  <c r="B34" i="39"/>
  <c r="C9" i="40"/>
  <c r="B17" i="40"/>
  <c r="C21" i="40"/>
  <c r="C12" i="38"/>
  <c r="C17" i="43"/>
  <c r="B10" i="34"/>
  <c r="B14" i="44"/>
  <c r="C7" i="40"/>
  <c r="B9" i="40"/>
  <c r="C17" i="46"/>
  <c r="B28" i="46"/>
  <c r="C28" i="46"/>
  <c r="C19" i="44"/>
  <c r="B20" i="45"/>
  <c r="C20" i="45"/>
  <c r="B20" i="41"/>
  <c r="B13" i="38"/>
  <c r="B28" i="43"/>
  <c r="B19" i="45"/>
  <c r="C26" i="40"/>
  <c r="B33" i="40"/>
  <c r="C38" i="40"/>
  <c r="B19" i="42"/>
  <c r="C28" i="38"/>
  <c r="C33" i="43"/>
  <c r="B18" i="33"/>
  <c r="C28" i="33"/>
  <c r="B27" i="31"/>
  <c r="B35" i="35"/>
  <c r="B34" i="45"/>
  <c r="B23" i="36"/>
  <c r="C21" i="37"/>
  <c r="B22" i="37"/>
  <c r="B7" i="44"/>
  <c r="B27" i="36"/>
  <c r="C13" i="34"/>
  <c r="B32" i="34"/>
  <c r="B33" i="34"/>
  <c r="B37" i="44"/>
  <c r="C38" i="46"/>
  <c r="B35" i="42"/>
  <c r="B13" i="31"/>
  <c r="AU13" i="49" s="1"/>
  <c r="AW13" i="49" s="1"/>
  <c r="B34" i="33"/>
  <c r="B21" i="36"/>
  <c r="C35" i="39"/>
  <c r="B20" i="33"/>
  <c r="C27" i="39"/>
  <c r="B28" i="39"/>
  <c r="C35" i="45"/>
  <c r="B10" i="40"/>
  <c r="C17" i="40"/>
  <c r="C10" i="43"/>
  <c r="B9" i="44"/>
  <c r="C34" i="45"/>
  <c r="C10" i="46"/>
  <c r="B22" i="46"/>
  <c r="C22" i="46"/>
  <c r="C13" i="44"/>
  <c r="B17" i="39"/>
  <c r="C9" i="46"/>
  <c r="B21" i="46"/>
  <c r="C28" i="41"/>
  <c r="B32" i="36"/>
  <c r="B18" i="38"/>
  <c r="B21" i="43"/>
  <c r="C32" i="39"/>
  <c r="C33" i="40"/>
  <c r="B13" i="42"/>
  <c r="C22" i="38"/>
  <c r="C27" i="43"/>
  <c r="B21" i="34"/>
  <c r="B26" i="44"/>
  <c r="C19" i="40"/>
  <c r="B20" i="40"/>
  <c r="C27" i="46"/>
  <c r="B7" i="41"/>
  <c r="C7" i="41"/>
  <c r="C31" i="44"/>
  <c r="C7" i="34"/>
  <c r="B26" i="34"/>
  <c r="C26" i="37"/>
  <c r="C37" i="38"/>
  <c r="B38" i="38"/>
  <c r="C18" i="32"/>
  <c r="C10" i="39"/>
  <c r="B12" i="39"/>
  <c r="C14" i="36"/>
  <c r="C38" i="37"/>
  <c r="C31" i="39"/>
  <c r="B13" i="34"/>
  <c r="C23" i="34"/>
  <c r="B28" i="36"/>
  <c r="C7" i="38"/>
  <c r="B9" i="38"/>
  <c r="C13" i="41"/>
  <c r="B35" i="46"/>
  <c r="B35" i="38"/>
  <c r="C28" i="45"/>
  <c r="B18" i="46"/>
  <c r="C18" i="46"/>
  <c r="C7" i="44"/>
  <c r="B10" i="39"/>
  <c r="B17" i="46"/>
  <c r="C22" i="41"/>
  <c r="B26" i="36"/>
  <c r="B35" i="41"/>
  <c r="C37" i="36"/>
  <c r="C35" i="41"/>
  <c r="B12" i="38"/>
  <c r="B17" i="43"/>
  <c r="C26" i="39"/>
  <c r="B31" i="35"/>
  <c r="B28" i="45"/>
  <c r="C21" i="41"/>
  <c r="B19" i="36"/>
  <c r="B22" i="41"/>
  <c r="C17" i="37"/>
  <c r="C21" i="42"/>
  <c r="B18" i="37"/>
  <c r="B34" i="42"/>
  <c r="C28" i="37"/>
  <c r="C34" i="42"/>
  <c r="B23" i="44"/>
  <c r="C33" i="45"/>
  <c r="B34" i="46"/>
  <c r="C34" i="46"/>
  <c r="C23" i="44"/>
  <c r="B27" i="39"/>
  <c r="C20" i="46"/>
  <c r="B33" i="46"/>
  <c r="B28" i="38"/>
  <c r="B33" i="43"/>
  <c r="C10" i="40"/>
  <c r="C12" i="32"/>
  <c r="B37" i="37"/>
  <c r="C18" i="42"/>
  <c r="C34" i="38"/>
  <c r="C32" i="32"/>
  <c r="B17" i="35"/>
  <c r="C27" i="35"/>
  <c r="C23" i="40"/>
  <c r="B26" i="40"/>
  <c r="B13" i="41"/>
  <c r="C28" i="44"/>
  <c r="C18" i="40"/>
  <c r="B22" i="36"/>
  <c r="B31" i="46"/>
  <c r="B12" i="35"/>
  <c r="C28" i="32"/>
  <c r="C21" i="39"/>
  <c r="B22" i="39"/>
  <c r="B10" i="46"/>
  <c r="C18" i="41"/>
  <c r="B31" i="41"/>
  <c r="C32" i="36"/>
  <c r="C31" i="41"/>
  <c r="B10" i="43"/>
  <c r="B15" i="43" s="1"/>
  <c r="C20" i="39"/>
  <c r="B23" i="35"/>
  <c r="B22" i="45"/>
  <c r="C17" i="41"/>
  <c r="B18" i="41"/>
  <c r="C10" i="37"/>
  <c r="C17" i="42"/>
  <c r="B12" i="37"/>
  <c r="B28" i="42"/>
  <c r="C22" i="37"/>
  <c r="C28" i="42"/>
  <c r="B19" i="44"/>
  <c r="C27" i="45"/>
  <c r="B35" i="40"/>
  <c r="C14" i="42"/>
  <c r="B17" i="42"/>
  <c r="B32" i="39"/>
  <c r="B22" i="38"/>
  <c r="B27" i="43"/>
  <c r="C37" i="39"/>
  <c r="C33" i="41"/>
  <c r="B31" i="36"/>
  <c r="B34" i="41"/>
  <c r="C27" i="37"/>
  <c r="C33" i="42"/>
  <c r="B28" i="37"/>
  <c r="B35" i="44"/>
  <c r="C12" i="40"/>
  <c r="B35" i="39"/>
  <c r="C12" i="42"/>
  <c r="B10" i="35"/>
  <c r="C21" i="35"/>
  <c r="C13" i="40"/>
  <c r="B14" i="40"/>
  <c r="C22" i="44"/>
  <c r="C17" i="33"/>
  <c r="B20" i="31"/>
  <c r="C37" i="31"/>
  <c r="AI35" i="3" s="1"/>
  <c r="B14" i="36"/>
  <c r="B7" i="40"/>
  <c r="C38" i="41"/>
  <c r="C38" i="42"/>
  <c r="C17" i="39"/>
  <c r="B18" i="39"/>
  <c r="B27" i="35"/>
  <c r="C38" i="35"/>
  <c r="C13" i="33"/>
  <c r="C17" i="31"/>
  <c r="C35" i="40"/>
  <c r="B37" i="40"/>
  <c r="C12" i="41"/>
  <c r="B23" i="41"/>
  <c r="C28" i="40"/>
  <c r="B19" i="35"/>
  <c r="B18" i="45"/>
  <c r="C10" i="41"/>
  <c r="B12" i="41"/>
  <c r="C10" i="42"/>
  <c r="B22" i="42"/>
  <c r="C18" i="37"/>
  <c r="C22" i="42"/>
  <c r="B13" i="44"/>
  <c r="C21" i="45"/>
  <c r="B31" i="40"/>
  <c r="C9" i="42"/>
  <c r="B10" i="42"/>
  <c r="B26" i="39"/>
  <c r="B13" i="37"/>
  <c r="C32" i="38"/>
  <c r="C35" i="43"/>
  <c r="C36" i="43" s="1"/>
  <c r="B33" i="38"/>
  <c r="B38" i="45"/>
  <c r="C14" i="41"/>
  <c r="C34" i="37"/>
  <c r="B31" i="44"/>
  <c r="C38" i="45"/>
  <c r="B10" i="36"/>
  <c r="B9" i="46"/>
  <c r="C26" i="42"/>
  <c r="B17" i="37"/>
  <c r="B27" i="42"/>
  <c r="B14" i="43"/>
  <c r="C10" i="38"/>
  <c r="C14" i="43"/>
  <c r="C13" i="46"/>
  <c r="B29" i="43"/>
  <c r="AG9" i="49"/>
  <c r="AG5" i="4"/>
  <c r="H11" i="3"/>
  <c r="AV26" i="49"/>
  <c r="F7" i="4"/>
  <c r="H10" i="3"/>
  <c r="AI24" i="3"/>
  <c r="H12" i="49"/>
  <c r="J12" i="49" s="1"/>
  <c r="AU25" i="4"/>
  <c r="AW25" i="4" s="1"/>
  <c r="Q32" i="4"/>
  <c r="S32" i="4" s="1"/>
  <c r="I10" i="3"/>
  <c r="AV11" i="4"/>
  <c r="AH12" i="3"/>
  <c r="AU12" i="4"/>
  <c r="AI8" i="3"/>
  <c r="B31" i="26"/>
  <c r="AU11" i="4"/>
  <c r="AW11" i="4" s="1"/>
  <c r="O24" i="3"/>
  <c r="AU7" i="4"/>
  <c r="AW7" i="4" s="1"/>
  <c r="AV31" i="4"/>
  <c r="AU33" i="4"/>
  <c r="N5" i="3"/>
  <c r="R24" i="4"/>
  <c r="Q34" i="49"/>
  <c r="S34" i="49" s="1"/>
  <c r="E5" i="4"/>
  <c r="G5" i="4" s="1"/>
  <c r="I10" i="4"/>
  <c r="E16" i="3"/>
  <c r="AU5" i="4"/>
  <c r="AW5" i="4" s="1"/>
  <c r="R10" i="4"/>
  <c r="AF10" i="4"/>
  <c r="AH10" i="4" s="1"/>
  <c r="AV8" i="4"/>
  <c r="AI7" i="3"/>
  <c r="C15" i="43"/>
  <c r="AF12" i="49"/>
  <c r="AH12" i="49" s="1"/>
  <c r="I19" i="49"/>
  <c r="AG7" i="49"/>
  <c r="R12" i="49"/>
  <c r="Q24" i="4"/>
  <c r="S24" i="4" s="1"/>
  <c r="C18" i="49"/>
  <c r="AG12" i="49"/>
  <c r="F9" i="49"/>
  <c r="N24" i="3"/>
  <c r="X10" i="3"/>
  <c r="B29" i="16"/>
  <c r="F7" i="3"/>
  <c r="F5" i="3"/>
  <c r="AH33" i="3"/>
  <c r="Q5" i="4"/>
  <c r="S5" i="4" s="1"/>
  <c r="Y10" i="3"/>
  <c r="AH35" i="3"/>
  <c r="AH11" i="3"/>
  <c r="I17" i="4"/>
  <c r="AI33" i="3"/>
  <c r="C29" i="16"/>
  <c r="AV29" i="4"/>
  <c r="AI31" i="3"/>
  <c r="AV33" i="4"/>
  <c r="AV10" i="48" s="1"/>
  <c r="AH7" i="3"/>
  <c r="AU10" i="4"/>
  <c r="AW10" i="4" s="1"/>
  <c r="AV5" i="4"/>
  <c r="H9" i="49"/>
  <c r="J9" i="49" s="1"/>
  <c r="Q17" i="4"/>
  <c r="S17" i="4" s="1"/>
  <c r="AV35" i="4"/>
  <c r="AV9" i="8" s="1"/>
  <c r="C36" i="46"/>
  <c r="AH16" i="3"/>
  <c r="Y16" i="3"/>
  <c r="R35" i="4"/>
  <c r="R9" i="8" s="1"/>
  <c r="B17" i="4"/>
  <c r="D17" i="4" s="1"/>
  <c r="O35" i="3"/>
  <c r="H7" i="4"/>
  <c r="J7" i="4" s="1"/>
  <c r="E33" i="3"/>
  <c r="AI5" i="3"/>
  <c r="C35" i="49"/>
  <c r="D17" i="3"/>
  <c r="AV10" i="4"/>
  <c r="AU16" i="4"/>
  <c r="AW16" i="4" s="1"/>
  <c r="R5" i="4"/>
  <c r="Q19" i="49"/>
  <c r="S19" i="49" s="1"/>
  <c r="H19" i="49"/>
  <c r="J19" i="49" s="1"/>
  <c r="AV37" i="49"/>
  <c r="AG18" i="49"/>
  <c r="R7" i="49"/>
  <c r="H17" i="4"/>
  <c r="J17" i="4" s="1"/>
  <c r="AI10" i="3"/>
  <c r="C36" i="36"/>
  <c r="C15" i="46"/>
  <c r="B36" i="46"/>
  <c r="AI11" i="3"/>
  <c r="AG34" i="49"/>
  <c r="AU32" i="4"/>
  <c r="AW32" i="4" s="1"/>
  <c r="B35" i="49"/>
  <c r="Y32" i="3"/>
  <c r="C15" i="31"/>
  <c r="AV15" i="49" s="1"/>
  <c r="AU8" i="4"/>
  <c r="AW8" i="4" s="1"/>
  <c r="R17" i="4"/>
  <c r="AI16" i="3"/>
  <c r="AH32" i="3"/>
  <c r="AH8" i="3"/>
  <c r="C24" i="43"/>
  <c r="D33" i="3"/>
  <c r="AV18" i="49"/>
  <c r="R19" i="49"/>
  <c r="B24" i="43"/>
  <c r="Q29" i="4"/>
  <c r="S29" i="4" s="1"/>
  <c r="Q12" i="49"/>
  <c r="S12" i="49" s="1"/>
  <c r="Q10" i="4"/>
  <c r="S10" i="4" s="1"/>
  <c r="H29" i="3"/>
  <c r="Q31" i="49"/>
  <c r="S31" i="49" s="1"/>
  <c r="H31" i="49"/>
  <c r="J31" i="49" s="1"/>
  <c r="J36" i="49" s="1"/>
  <c r="B15" i="31"/>
  <c r="AU15" i="49" s="1"/>
  <c r="I7" i="3"/>
  <c r="C33" i="49"/>
  <c r="AQ29" i="49"/>
  <c r="AF21" i="49"/>
  <c r="AH21" i="49" s="1"/>
  <c r="AG21" i="49"/>
  <c r="V29" i="49"/>
  <c r="AT29" i="49"/>
  <c r="M24" i="49"/>
  <c r="AB36" i="49"/>
  <c r="AB15" i="49"/>
  <c r="M36" i="49"/>
  <c r="M15" i="49"/>
  <c r="D23" i="49"/>
  <c r="D12" i="49"/>
  <c r="M29" i="49"/>
  <c r="D28" i="49"/>
  <c r="D10" i="49"/>
  <c r="AX10" i="49"/>
  <c r="AQ24" i="49"/>
  <c r="AK29" i="49"/>
  <c r="P36" i="49"/>
  <c r="C11" i="4"/>
  <c r="C13" i="49"/>
  <c r="F26" i="4"/>
  <c r="F9" i="48" s="1"/>
  <c r="F28" i="49"/>
  <c r="AC15" i="4"/>
  <c r="AE15" i="4" s="1"/>
  <c r="AC17" i="49"/>
  <c r="AE17" i="49" s="1"/>
  <c r="AC16" i="4"/>
  <c r="AE16" i="4" s="1"/>
  <c r="AC18" i="49"/>
  <c r="AE18" i="49" s="1"/>
  <c r="AA33" i="4"/>
  <c r="AA10" i="48" s="1"/>
  <c r="AA35" i="49"/>
  <c r="AA32" i="4"/>
  <c r="AA34" i="49"/>
  <c r="AA20" i="4"/>
  <c r="AA22" i="49"/>
  <c r="AA10" i="4"/>
  <c r="AA12" i="49"/>
  <c r="W20" i="4"/>
  <c r="Y20" i="4" s="1"/>
  <c r="W22" i="49"/>
  <c r="Y22" i="49" s="1"/>
  <c r="W31" i="4"/>
  <c r="Y31" i="4" s="1"/>
  <c r="W33" i="49"/>
  <c r="Y33" i="49" s="1"/>
  <c r="W19" i="4"/>
  <c r="Y19" i="4" s="1"/>
  <c r="W21" i="49"/>
  <c r="Y21" i="49" s="1"/>
  <c r="U11" i="4"/>
  <c r="U13" i="49"/>
  <c r="Q32" i="3"/>
  <c r="U34" i="49"/>
  <c r="U20" i="4"/>
  <c r="U22" i="49"/>
  <c r="U10" i="4"/>
  <c r="U12" i="49"/>
  <c r="I29" i="3"/>
  <c r="I31" i="49"/>
  <c r="D21" i="49"/>
  <c r="C29" i="14"/>
  <c r="C29" i="49" s="1"/>
  <c r="C28" i="49"/>
  <c r="V36" i="49"/>
  <c r="V15" i="49"/>
  <c r="AG33" i="4"/>
  <c r="AG10" i="48" s="1"/>
  <c r="AG35" i="49"/>
  <c r="D32" i="49"/>
  <c r="D22" i="49"/>
  <c r="AX22" i="49"/>
  <c r="AY23" i="49"/>
  <c r="P24" i="49"/>
  <c r="D15" i="3"/>
  <c r="B17" i="49"/>
  <c r="F24" i="4"/>
  <c r="F26" i="49"/>
  <c r="AC35" i="4"/>
  <c r="AC9" i="8" s="1"/>
  <c r="AC37" i="49"/>
  <c r="AE37" i="49" s="1"/>
  <c r="AC24" i="4"/>
  <c r="AE24" i="4" s="1"/>
  <c r="AC26" i="49"/>
  <c r="AE26" i="49" s="1"/>
  <c r="AE29" i="49" s="1"/>
  <c r="AC12" i="4"/>
  <c r="AE12" i="4" s="1"/>
  <c r="AE7" i="48" s="1"/>
  <c r="AC14" i="49"/>
  <c r="AE14" i="49" s="1"/>
  <c r="AE15" i="49" s="1"/>
  <c r="AA31" i="4"/>
  <c r="AA33" i="49"/>
  <c r="AA30" i="4"/>
  <c r="AA32" i="49"/>
  <c r="U7" i="3"/>
  <c r="AA9" i="49"/>
  <c r="R18" i="3"/>
  <c r="W20" i="49"/>
  <c r="Y20" i="49" s="1"/>
  <c r="R29" i="3"/>
  <c r="W31" i="49"/>
  <c r="Y31" i="49" s="1"/>
  <c r="W17" i="4"/>
  <c r="Y17" i="4" s="1"/>
  <c r="W19" i="49"/>
  <c r="Y19" i="49" s="1"/>
  <c r="R5" i="3"/>
  <c r="W7" i="49"/>
  <c r="Y7" i="49" s="1"/>
  <c r="U8" i="4"/>
  <c r="U10" i="49"/>
  <c r="U30" i="4"/>
  <c r="U32" i="49"/>
  <c r="U18" i="4"/>
  <c r="U20" i="49"/>
  <c r="Q7" i="3"/>
  <c r="U9" i="49"/>
  <c r="S36" i="49"/>
  <c r="AX35" i="49"/>
  <c r="D35" i="49"/>
  <c r="D19" i="49"/>
  <c r="AT36" i="49"/>
  <c r="AT15" i="49"/>
  <c r="AN36" i="49"/>
  <c r="AB29" i="49"/>
  <c r="AK36" i="49"/>
  <c r="AK15" i="49"/>
  <c r="P29" i="49"/>
  <c r="G36" i="49"/>
  <c r="D14" i="49"/>
  <c r="AB24" i="49"/>
  <c r="V24" i="49"/>
  <c r="AG31" i="4"/>
  <c r="AG33" i="49"/>
  <c r="D20" i="49"/>
  <c r="F12" i="4"/>
  <c r="F7" i="48" s="1"/>
  <c r="F14" i="49"/>
  <c r="D5" i="3"/>
  <c r="B7" i="49"/>
  <c r="AA8" i="4"/>
  <c r="AA10" i="49"/>
  <c r="AA26" i="4"/>
  <c r="AA9" i="48" s="1"/>
  <c r="AA28" i="49"/>
  <c r="AA16" i="4"/>
  <c r="AA18" i="49"/>
  <c r="W32" i="4"/>
  <c r="Y32" i="4" s="1"/>
  <c r="W34" i="49"/>
  <c r="Y34" i="49" s="1"/>
  <c r="W25" i="4"/>
  <c r="Y25" i="4" s="1"/>
  <c r="W27" i="49"/>
  <c r="Y27" i="49" s="1"/>
  <c r="Y29" i="49" s="1"/>
  <c r="W15" i="4"/>
  <c r="Y15" i="4" s="1"/>
  <c r="W17" i="49"/>
  <c r="Y17" i="49" s="1"/>
  <c r="Q5" i="3"/>
  <c r="U7" i="49"/>
  <c r="U26" i="4"/>
  <c r="U9" i="48" s="1"/>
  <c r="U28" i="49"/>
  <c r="U16" i="4"/>
  <c r="U18" i="49"/>
  <c r="C5" i="4"/>
  <c r="C7" i="49"/>
  <c r="B7" i="26"/>
  <c r="AF7" i="49"/>
  <c r="AH7" i="49" s="1"/>
  <c r="S29" i="49"/>
  <c r="AT24" i="49"/>
  <c r="AN29" i="49"/>
  <c r="AN24" i="49"/>
  <c r="AN15" i="49"/>
  <c r="AK24" i="49"/>
  <c r="G24" i="49"/>
  <c r="D37" i="49"/>
  <c r="B26" i="26"/>
  <c r="AF26" i="49"/>
  <c r="AH26" i="49" s="1"/>
  <c r="AH29" i="49" s="1"/>
  <c r="AG15" i="4"/>
  <c r="AG17" i="49"/>
  <c r="D34" i="49"/>
  <c r="D13" i="49"/>
  <c r="G29" i="49"/>
  <c r="D33" i="49"/>
  <c r="AQ36" i="49"/>
  <c r="AQ15" i="49"/>
  <c r="F10" i="4"/>
  <c r="F12" i="49"/>
  <c r="D9" i="49"/>
  <c r="B29" i="4"/>
  <c r="D29" i="4" s="1"/>
  <c r="B31" i="49"/>
  <c r="AC17" i="4"/>
  <c r="AE17" i="4" s="1"/>
  <c r="AC19" i="49"/>
  <c r="AE19" i="49" s="1"/>
  <c r="AC19" i="4"/>
  <c r="AE19" i="4" s="1"/>
  <c r="AC21" i="49"/>
  <c r="AE21" i="49" s="1"/>
  <c r="V30" i="3"/>
  <c r="AC32" i="49"/>
  <c r="AE32" i="49" s="1"/>
  <c r="AE36" i="49" s="1"/>
  <c r="AC18" i="4"/>
  <c r="AE18" i="4" s="1"/>
  <c r="AC20" i="49"/>
  <c r="AE20" i="49" s="1"/>
  <c r="AA35" i="4"/>
  <c r="AA9" i="8" s="1"/>
  <c r="AA37" i="49"/>
  <c r="U24" i="3"/>
  <c r="AA26" i="49"/>
  <c r="U12" i="3"/>
  <c r="AA14" i="49"/>
  <c r="W30" i="4"/>
  <c r="Y30" i="4" s="1"/>
  <c r="W32" i="49"/>
  <c r="Y32" i="49" s="1"/>
  <c r="W21" i="4"/>
  <c r="Y21" i="4" s="1"/>
  <c r="Y8" i="48" s="1"/>
  <c r="W23" i="49"/>
  <c r="Y23" i="49" s="1"/>
  <c r="W11" i="4"/>
  <c r="Y11" i="4" s="1"/>
  <c r="W13" i="49"/>
  <c r="Y13" i="49" s="1"/>
  <c r="U25" i="4"/>
  <c r="U27" i="49"/>
  <c r="U35" i="4"/>
  <c r="U9" i="8" s="1"/>
  <c r="U37" i="49"/>
  <c r="Q24" i="3"/>
  <c r="U26" i="49"/>
  <c r="U12" i="4"/>
  <c r="U7" i="48" s="1"/>
  <c r="U14" i="49"/>
  <c r="P15" i="49"/>
  <c r="B24" i="4"/>
  <c r="D24" i="4" s="1"/>
  <c r="B26" i="49"/>
  <c r="AW12" i="4"/>
  <c r="AW7" i="48" s="1"/>
  <c r="AU7" i="48"/>
  <c r="AW33" i="4"/>
  <c r="AW10" i="48" s="1"/>
  <c r="AU10" i="48"/>
  <c r="AX20" i="48"/>
  <c r="B24" i="16"/>
  <c r="D33" i="4"/>
  <c r="D10" i="48" s="1"/>
  <c r="B29" i="14"/>
  <c r="I29" i="4"/>
  <c r="D24" i="3"/>
  <c r="B29" i="31"/>
  <c r="AU29" i="49" s="1"/>
  <c r="C36" i="31"/>
  <c r="AV36" i="49" s="1"/>
  <c r="R36" i="3"/>
  <c r="L45" i="7"/>
  <c r="C29" i="46"/>
  <c r="B29" i="46"/>
  <c r="AF5" i="4"/>
  <c r="AH5" i="4" s="1"/>
  <c r="X5" i="3"/>
  <c r="AX17" i="8"/>
  <c r="AY17" i="8"/>
  <c r="C24" i="16"/>
  <c r="U10" i="3"/>
  <c r="U32" i="3"/>
  <c r="V16" i="3"/>
  <c r="C24" i="41"/>
  <c r="U20" i="3"/>
  <c r="U32" i="4"/>
  <c r="R19" i="3"/>
  <c r="U33" i="3"/>
  <c r="Q20" i="3"/>
  <c r="Q11" i="3"/>
  <c r="C15" i="36"/>
  <c r="Q10" i="3"/>
  <c r="B15" i="32"/>
  <c r="R31" i="3"/>
  <c r="G12" i="3"/>
  <c r="R11" i="3"/>
  <c r="C29" i="28"/>
  <c r="B15" i="18"/>
  <c r="B29" i="39"/>
  <c r="AC30" i="4"/>
  <c r="AE30" i="4" s="1"/>
  <c r="Q35" i="3"/>
  <c r="Q12" i="3"/>
  <c r="AA24" i="4"/>
  <c r="R21" i="3"/>
  <c r="C15" i="32"/>
  <c r="C15" i="15"/>
  <c r="Q25" i="3"/>
  <c r="U24" i="4"/>
  <c r="R30" i="3"/>
  <c r="U35" i="3"/>
  <c r="V18" i="3"/>
  <c r="G24" i="3"/>
  <c r="AA12" i="4"/>
  <c r="AA7" i="48" s="1"/>
  <c r="C29" i="26"/>
  <c r="V15" i="3"/>
  <c r="C15" i="30"/>
  <c r="C36" i="26"/>
  <c r="C29" i="19"/>
  <c r="C29" i="17"/>
  <c r="C36" i="16"/>
  <c r="Q36" i="3"/>
  <c r="E5" i="3"/>
  <c r="B29" i="38"/>
  <c r="U26" i="3"/>
  <c r="B24" i="25"/>
  <c r="B24" i="38"/>
  <c r="C15" i="41"/>
  <c r="U31" i="3"/>
  <c r="C36" i="41"/>
  <c r="B36" i="37"/>
  <c r="C36" i="30"/>
  <c r="W18" i="8"/>
  <c r="K46" i="7" s="1"/>
  <c r="U5" i="4"/>
  <c r="C29" i="32"/>
  <c r="C36" i="14"/>
  <c r="U8" i="3"/>
  <c r="Q16" i="3"/>
  <c r="U16" i="3"/>
  <c r="C29" i="41"/>
  <c r="Q26" i="3"/>
  <c r="C15" i="44"/>
  <c r="C29" i="44"/>
  <c r="C24" i="32"/>
  <c r="C29" i="22"/>
  <c r="R25" i="3"/>
  <c r="R15" i="3"/>
  <c r="G26" i="3"/>
  <c r="B15" i="4"/>
  <c r="R32" i="3"/>
  <c r="C24" i="14"/>
  <c r="B29" i="17"/>
  <c r="C36" i="28"/>
  <c r="B36" i="39"/>
  <c r="C29" i="15"/>
  <c r="V12" i="3"/>
  <c r="U7" i="4"/>
  <c r="Q18" i="3"/>
  <c r="B29" i="32"/>
  <c r="C24" i="15"/>
  <c r="C24" i="44"/>
  <c r="B29" i="45"/>
  <c r="B24" i="39"/>
  <c r="C29" i="33"/>
  <c r="D36" i="26"/>
  <c r="C36" i="24"/>
  <c r="Q8" i="3"/>
  <c r="B15" i="38"/>
  <c r="B15" i="34"/>
  <c r="C29" i="21"/>
  <c r="C29" i="25"/>
  <c r="C29" i="29"/>
  <c r="W5" i="4"/>
  <c r="Y5" i="4" s="1"/>
  <c r="B15" i="39"/>
  <c r="B15" i="35"/>
  <c r="C15" i="22"/>
  <c r="B24" i="37"/>
  <c r="V24" i="3"/>
  <c r="B36" i="32"/>
  <c r="W29" i="4"/>
  <c r="Y29" i="4" s="1"/>
  <c r="W18" i="4"/>
  <c r="Y18" i="4" s="1"/>
  <c r="V17" i="3"/>
  <c r="U30" i="3"/>
  <c r="Q30" i="3"/>
  <c r="AA7" i="4"/>
  <c r="B36" i="36"/>
  <c r="B29" i="37"/>
  <c r="C29" i="40"/>
  <c r="B36" i="45"/>
  <c r="C36" i="44"/>
  <c r="B36" i="38"/>
  <c r="B24" i="34"/>
  <c r="B15" i="45"/>
  <c r="B15" i="37"/>
  <c r="Y31" i="3"/>
  <c r="V19" i="3"/>
  <c r="B36" i="23"/>
  <c r="V35" i="3"/>
  <c r="R17" i="3"/>
  <c r="C36" i="32"/>
  <c r="D29" i="3"/>
  <c r="R20" i="3"/>
  <c r="B15" i="21"/>
  <c r="B36" i="20"/>
  <c r="AC7" i="4"/>
  <c r="AE7" i="4" s="1"/>
  <c r="V7" i="3"/>
  <c r="W33" i="4"/>
  <c r="R33" i="3"/>
  <c r="N5" i="4"/>
  <c r="P5" i="4" s="1"/>
  <c r="L5" i="3"/>
  <c r="V26" i="3"/>
  <c r="AC26" i="4"/>
  <c r="R8" i="3"/>
  <c r="W8" i="4"/>
  <c r="Y8" i="4" s="1"/>
  <c r="L10" i="4"/>
  <c r="K10" i="3"/>
  <c r="Y33" i="3"/>
  <c r="U18" i="3"/>
  <c r="AA18" i="4"/>
  <c r="L7" i="4"/>
  <c r="K7" i="3"/>
  <c r="B15" i="41"/>
  <c r="B24" i="15"/>
  <c r="AC32" i="4"/>
  <c r="AE32" i="4" s="1"/>
  <c r="V32" i="3"/>
  <c r="AC20" i="4"/>
  <c r="AE20" i="4" s="1"/>
  <c r="V20" i="3"/>
  <c r="V10" i="3"/>
  <c r="AC10" i="4"/>
  <c r="AE10" i="4" s="1"/>
  <c r="N11" i="4"/>
  <c r="P11" i="4" s="1"/>
  <c r="L11" i="3"/>
  <c r="C29" i="30"/>
  <c r="B36" i="14"/>
  <c r="AM31" i="4"/>
  <c r="AC31" i="3"/>
  <c r="C15" i="25"/>
  <c r="AD15" i="49" s="1"/>
  <c r="AA12" i="3"/>
  <c r="AJ12" i="4"/>
  <c r="AJ7" i="48" s="1"/>
  <c r="AM29" i="4"/>
  <c r="AC29" i="3"/>
  <c r="B15" i="25"/>
  <c r="C15" i="19"/>
  <c r="AJ10" i="4"/>
  <c r="AA10" i="3"/>
  <c r="AM25" i="4"/>
  <c r="AC25" i="3"/>
  <c r="AC8" i="4"/>
  <c r="AE8" i="4" s="1"/>
  <c r="V8" i="3"/>
  <c r="C24" i="46"/>
  <c r="B36" i="35"/>
  <c r="B29" i="30"/>
  <c r="C36" i="27"/>
  <c r="C15" i="27"/>
  <c r="C29" i="23"/>
  <c r="B29" i="22"/>
  <c r="B24" i="19"/>
  <c r="G10" i="3"/>
  <c r="C24" i="30"/>
  <c r="AJ7" i="4"/>
  <c r="AA7" i="3"/>
  <c r="AC21" i="4"/>
  <c r="V21" i="3"/>
  <c r="C36" i="35"/>
  <c r="E11" i="3"/>
  <c r="AA24" i="3"/>
  <c r="AJ24" i="4"/>
  <c r="B35" i="26"/>
  <c r="X33" i="3"/>
  <c r="AF33" i="4"/>
  <c r="B36" i="34"/>
  <c r="C29" i="34"/>
  <c r="B36" i="31"/>
  <c r="AU36" i="49" s="1"/>
  <c r="C15" i="17"/>
  <c r="AJ20" i="4"/>
  <c r="AA20" i="3"/>
  <c r="B33" i="26"/>
  <c r="AF31" i="4"/>
  <c r="AH31" i="4" s="1"/>
  <c r="X31" i="3"/>
  <c r="AA18" i="3"/>
  <c r="AJ18" i="4"/>
  <c r="C29" i="37"/>
  <c r="B24" i="36"/>
  <c r="B15" i="16"/>
  <c r="B24" i="45"/>
  <c r="B29" i="19"/>
  <c r="B5" i="4"/>
  <c r="AJ16" i="4"/>
  <c r="AA16" i="3"/>
  <c r="AC33" i="3"/>
  <c r="AM33" i="4"/>
  <c r="AM10" i="48" s="1"/>
  <c r="E31" i="3"/>
  <c r="C8" i="4"/>
  <c r="E8" i="3"/>
  <c r="B36" i="29"/>
  <c r="D7" i="3"/>
  <c r="B7" i="4"/>
  <c r="AG30" i="3"/>
  <c r="AS30" i="4"/>
  <c r="AS18" i="4"/>
  <c r="AG18" i="3"/>
  <c r="AG7" i="3"/>
  <c r="AS7" i="4"/>
  <c r="B32" i="26"/>
  <c r="X30" i="3"/>
  <c r="AF30" i="4"/>
  <c r="AH30" i="4" s="1"/>
  <c r="AG29" i="3"/>
  <c r="AS29" i="4"/>
  <c r="AS17" i="4"/>
  <c r="AG17" i="3"/>
  <c r="AS5" i="4"/>
  <c r="AG5" i="3"/>
  <c r="AC24" i="3"/>
  <c r="AM24" i="4"/>
  <c r="C15" i="24"/>
  <c r="AS26" i="4"/>
  <c r="AS9" i="48" s="1"/>
  <c r="AG26" i="3"/>
  <c r="AS16" i="4"/>
  <c r="AG16" i="3"/>
  <c r="O8" i="3"/>
  <c r="R8" i="4"/>
  <c r="B20" i="26"/>
  <c r="X18" i="3"/>
  <c r="AF18" i="4"/>
  <c r="AH18" i="4" s="1"/>
  <c r="AG36" i="3"/>
  <c r="L53" i="7"/>
  <c r="AG25" i="3"/>
  <c r="AS25" i="4"/>
  <c r="AS15" i="4"/>
  <c r="AG15" i="3"/>
  <c r="AC32" i="3"/>
  <c r="AM32" i="4"/>
  <c r="AS35" i="4"/>
  <c r="AS9" i="8" s="1"/>
  <c r="AG35" i="3"/>
  <c r="AS24" i="4"/>
  <c r="AG24" i="3"/>
  <c r="AG12" i="3"/>
  <c r="AS12" i="4"/>
  <c r="AS7" i="48" s="1"/>
  <c r="AS33" i="4"/>
  <c r="AS10" i="48" s="1"/>
  <c r="AG33" i="3"/>
  <c r="AS21" i="4"/>
  <c r="AS8" i="48" s="1"/>
  <c r="AG21" i="3"/>
  <c r="AG11" i="3"/>
  <c r="AS11" i="4"/>
  <c r="AC30" i="3"/>
  <c r="AM30" i="4"/>
  <c r="B29" i="44"/>
  <c r="B29" i="15"/>
  <c r="AS32" i="4"/>
  <c r="AG32" i="3"/>
  <c r="AS20" i="4"/>
  <c r="AG20" i="3"/>
  <c r="AS10" i="4"/>
  <c r="AG10" i="3"/>
  <c r="AG31" i="3"/>
  <c r="AS31" i="4"/>
  <c r="AS19" i="4"/>
  <c r="AG19" i="3"/>
  <c r="AS8" i="4"/>
  <c r="AG8" i="3"/>
  <c r="AM26" i="4"/>
  <c r="AM9" i="48" s="1"/>
  <c r="AC26" i="3"/>
  <c r="B36" i="41"/>
  <c r="C24" i="26"/>
  <c r="B29" i="24"/>
  <c r="C24" i="31"/>
  <c r="AV24" i="49" s="1"/>
  <c r="C15" i="28"/>
  <c r="B36" i="27"/>
  <c r="B15" i="27"/>
  <c r="B36" i="24"/>
  <c r="AI30" i="3"/>
  <c r="AV30" i="4"/>
  <c r="AO29" i="4"/>
  <c r="AQ29" i="4" s="1"/>
  <c r="AD29" i="3"/>
  <c r="AO17" i="4"/>
  <c r="AQ17" i="4" s="1"/>
  <c r="AD17" i="3"/>
  <c r="AD5" i="3"/>
  <c r="AO5" i="4"/>
  <c r="AQ5" i="4" s="1"/>
  <c r="AC19" i="3"/>
  <c r="AM19" i="4"/>
  <c r="AM8" i="4"/>
  <c r="AC8" i="3"/>
  <c r="Z30" i="3"/>
  <c r="AI30" i="4"/>
  <c r="AK30" i="4" s="1"/>
  <c r="AI18" i="4"/>
  <c r="AK18" i="4" s="1"/>
  <c r="Z18" i="3"/>
  <c r="Z7" i="3"/>
  <c r="AI7" i="4"/>
  <c r="AK7" i="4" s="1"/>
  <c r="AP31" i="4"/>
  <c r="AE31" i="3"/>
  <c r="AP19" i="4"/>
  <c r="AE19" i="3"/>
  <c r="AP8" i="4"/>
  <c r="AE8" i="3"/>
  <c r="AJ30" i="4"/>
  <c r="AA30" i="3"/>
  <c r="K43" i="7"/>
  <c r="L36" i="3"/>
  <c r="N25" i="4"/>
  <c r="P25" i="4" s="1"/>
  <c r="L25" i="3"/>
  <c r="N15" i="4"/>
  <c r="P15" i="4" s="1"/>
  <c r="L15" i="3"/>
  <c r="L30" i="4"/>
  <c r="K30" i="3"/>
  <c r="L18" i="4"/>
  <c r="K18" i="3"/>
  <c r="AV26" i="4"/>
  <c r="AV9" i="48" s="1"/>
  <c r="AI26" i="3"/>
  <c r="K52" i="7"/>
  <c r="AD36" i="3"/>
  <c r="AD25" i="3"/>
  <c r="AO25" i="4"/>
  <c r="AQ25" i="4" s="1"/>
  <c r="AO15" i="4"/>
  <c r="AQ15" i="4" s="1"/>
  <c r="AD15" i="3"/>
  <c r="L51" i="7"/>
  <c r="AC36" i="3"/>
  <c r="AC17" i="3"/>
  <c r="AM17" i="4"/>
  <c r="AM5" i="4"/>
  <c r="AC5" i="3"/>
  <c r="AI26" i="4"/>
  <c r="Z26" i="3"/>
  <c r="AI16" i="4"/>
  <c r="AK16" i="4" s="1"/>
  <c r="Z16" i="3"/>
  <c r="B29" i="35"/>
  <c r="AP29" i="4"/>
  <c r="AE29" i="3"/>
  <c r="AP17" i="4"/>
  <c r="AE17" i="3"/>
  <c r="AE5" i="3"/>
  <c r="AP5" i="4"/>
  <c r="AA26" i="3"/>
  <c r="AJ26" i="4"/>
  <c r="AJ9" i="48" s="1"/>
  <c r="N33" i="4"/>
  <c r="L33" i="3"/>
  <c r="L21" i="3"/>
  <c r="N21" i="4"/>
  <c r="N8" i="4"/>
  <c r="P8" i="4" s="1"/>
  <c r="L8" i="3"/>
  <c r="L26" i="4"/>
  <c r="L9" i="48" s="1"/>
  <c r="K26" i="3"/>
  <c r="L16" i="4"/>
  <c r="K16" i="3"/>
  <c r="C29" i="4"/>
  <c r="E29" i="3"/>
  <c r="B15" i="19"/>
  <c r="C29" i="31"/>
  <c r="AV29" i="49" s="1"/>
  <c r="AO33" i="4"/>
  <c r="AD33" i="3"/>
  <c r="AO21" i="4"/>
  <c r="AD21" i="3"/>
  <c r="AO11" i="4"/>
  <c r="AQ11" i="4" s="1"/>
  <c r="AD11" i="3"/>
  <c r="AM15" i="4"/>
  <c r="AC15" i="3"/>
  <c r="AI35" i="4"/>
  <c r="Z35" i="3"/>
  <c r="AI24" i="4"/>
  <c r="AK24" i="4" s="1"/>
  <c r="Z24" i="3"/>
  <c r="AI12" i="4"/>
  <c r="Z12" i="3"/>
  <c r="L52" i="7"/>
  <c r="AE36" i="3"/>
  <c r="AP25" i="4"/>
  <c r="AE25" i="3"/>
  <c r="AE15" i="3"/>
  <c r="AP15" i="4"/>
  <c r="AA35" i="3"/>
  <c r="AJ35" i="4"/>
  <c r="AJ9" i="8" s="1"/>
  <c r="Q30" i="4"/>
  <c r="S30" i="4" s="1"/>
  <c r="N30" i="3"/>
  <c r="N31" i="4"/>
  <c r="P31" i="4" s="1"/>
  <c r="L31" i="3"/>
  <c r="N19" i="4"/>
  <c r="P19" i="4" s="1"/>
  <c r="L19" i="3"/>
  <c r="L35" i="4"/>
  <c r="L9" i="8" s="1"/>
  <c r="K35" i="3"/>
  <c r="K24" i="3"/>
  <c r="L24" i="4"/>
  <c r="L12" i="4"/>
  <c r="L7" i="48" s="1"/>
  <c r="K12" i="3"/>
  <c r="C15" i="4"/>
  <c r="E15" i="3"/>
  <c r="C29" i="36"/>
  <c r="B15" i="36"/>
  <c r="AV20" i="4"/>
  <c r="AI20" i="3"/>
  <c r="AD31" i="3"/>
  <c r="AO31" i="4"/>
  <c r="AQ31" i="4" s="1"/>
  <c r="AO19" i="4"/>
  <c r="AQ19" i="4" s="1"/>
  <c r="AD19" i="3"/>
  <c r="AO8" i="4"/>
  <c r="AQ8" i="4" s="1"/>
  <c r="AD8" i="3"/>
  <c r="AM21" i="4"/>
  <c r="AM8" i="48" s="1"/>
  <c r="AC21" i="3"/>
  <c r="AM11" i="4"/>
  <c r="AC11" i="3"/>
  <c r="AI32" i="4"/>
  <c r="AK32" i="4" s="1"/>
  <c r="Z32" i="3"/>
  <c r="AI20" i="4"/>
  <c r="AK20" i="4" s="1"/>
  <c r="Z20" i="3"/>
  <c r="AI10" i="4"/>
  <c r="AK10" i="4" s="1"/>
  <c r="Z10" i="3"/>
  <c r="AP33" i="4"/>
  <c r="AP10" i="48" s="1"/>
  <c r="AE33" i="3"/>
  <c r="AE21" i="3"/>
  <c r="AP21" i="4"/>
  <c r="AP8" i="48" s="1"/>
  <c r="AE11" i="3"/>
  <c r="AP11" i="4"/>
  <c r="AJ32" i="4"/>
  <c r="AA32" i="3"/>
  <c r="R26" i="4"/>
  <c r="R9" i="48" s="1"/>
  <c r="O26" i="3"/>
  <c r="N29" i="4"/>
  <c r="P29" i="4" s="1"/>
  <c r="L29" i="3"/>
  <c r="L17" i="3"/>
  <c r="N17" i="4"/>
  <c r="P17" i="4" s="1"/>
  <c r="L32" i="4"/>
  <c r="K32" i="3"/>
  <c r="K20" i="3"/>
  <c r="L20" i="4"/>
  <c r="AD20" i="4"/>
  <c r="W20" i="3"/>
  <c r="Z19" i="4"/>
  <c r="AB19" i="4" s="1"/>
  <c r="T19" i="3"/>
  <c r="X19" i="4"/>
  <c r="S19" i="3"/>
  <c r="P19" i="3"/>
  <c r="T19" i="4"/>
  <c r="V19" i="4" s="1"/>
  <c r="R11" i="4"/>
  <c r="O11" i="3"/>
  <c r="R30" i="4"/>
  <c r="O30" i="3"/>
  <c r="O32" i="4"/>
  <c r="M32" i="3"/>
  <c r="O20" i="4"/>
  <c r="M20" i="3"/>
  <c r="O10" i="4"/>
  <c r="M10" i="3"/>
  <c r="K30" i="4"/>
  <c r="M30" i="4" s="1"/>
  <c r="J30" i="3"/>
  <c r="K18" i="4"/>
  <c r="M18" i="4" s="1"/>
  <c r="J18" i="3"/>
  <c r="H33" i="4"/>
  <c r="H33" i="3"/>
  <c r="H15" i="4"/>
  <c r="J15" i="4" s="1"/>
  <c r="H15" i="3"/>
  <c r="D36" i="3"/>
  <c r="B18" i="4"/>
  <c r="D18" i="3"/>
  <c r="C19" i="4"/>
  <c r="E19" i="3"/>
  <c r="I31" i="4"/>
  <c r="I31" i="3"/>
  <c r="E26" i="4"/>
  <c r="F26" i="3"/>
  <c r="E16" i="4"/>
  <c r="F16" i="3"/>
  <c r="B24" i="46"/>
  <c r="C24" i="40"/>
  <c r="B24" i="35"/>
  <c r="C36" i="20"/>
  <c r="C36" i="15"/>
  <c r="C24" i="33"/>
  <c r="B36" i="15"/>
  <c r="B15" i="15"/>
  <c r="B24" i="32"/>
  <c r="B37" i="26"/>
  <c r="AF35" i="4"/>
  <c r="X35" i="3"/>
  <c r="B14" i="26"/>
  <c r="AF12" i="4"/>
  <c r="X12" i="3"/>
  <c r="AD30" i="4"/>
  <c r="W30" i="3"/>
  <c r="AD18" i="4"/>
  <c r="W18" i="3"/>
  <c r="W7" i="3"/>
  <c r="AD7" i="4"/>
  <c r="Z29" i="4"/>
  <c r="AB29" i="4" s="1"/>
  <c r="T29" i="3"/>
  <c r="Z17" i="4"/>
  <c r="AB17" i="4" s="1"/>
  <c r="T17" i="3"/>
  <c r="Z5" i="4"/>
  <c r="AB5" i="4" s="1"/>
  <c r="T5" i="3"/>
  <c r="X29" i="4"/>
  <c r="S29" i="3"/>
  <c r="X17" i="4"/>
  <c r="S17" i="3"/>
  <c r="X5" i="4"/>
  <c r="S5" i="3"/>
  <c r="P29" i="3"/>
  <c r="T29" i="4"/>
  <c r="V29" i="4" s="1"/>
  <c r="T17" i="4"/>
  <c r="V17" i="4" s="1"/>
  <c r="P17" i="3"/>
  <c r="T5" i="4"/>
  <c r="V5" i="4" s="1"/>
  <c r="P5" i="3"/>
  <c r="C29" i="42"/>
  <c r="AH31" i="3"/>
  <c r="AU31" i="4"/>
  <c r="AW31" i="4" s="1"/>
  <c r="Q20" i="4"/>
  <c r="S20" i="4" s="1"/>
  <c r="N20" i="3"/>
  <c r="O20" i="3"/>
  <c r="R20" i="4"/>
  <c r="B29" i="36"/>
  <c r="O30" i="4"/>
  <c r="M30" i="3"/>
  <c r="M18" i="3"/>
  <c r="O18" i="4"/>
  <c r="M7" i="3"/>
  <c r="O7" i="4"/>
  <c r="K26" i="4"/>
  <c r="J26" i="3"/>
  <c r="K16" i="4"/>
  <c r="M16" i="4" s="1"/>
  <c r="J16" i="3"/>
  <c r="H30" i="3"/>
  <c r="H30" i="4"/>
  <c r="J30" i="4" s="1"/>
  <c r="H31" i="3"/>
  <c r="H31" i="4"/>
  <c r="J31" i="4" s="1"/>
  <c r="H8" i="4"/>
  <c r="J8" i="4" s="1"/>
  <c r="H8" i="3"/>
  <c r="B32" i="4"/>
  <c r="D32" i="3"/>
  <c r="B11" i="4"/>
  <c r="D11" i="3"/>
  <c r="L5" i="4"/>
  <c r="K5" i="3"/>
  <c r="I21" i="4"/>
  <c r="I8" i="48" s="1"/>
  <c r="I21" i="3"/>
  <c r="E35" i="4"/>
  <c r="F35" i="3"/>
  <c r="E24" i="4"/>
  <c r="G24" i="4" s="1"/>
  <c r="F24" i="3"/>
  <c r="E12" i="4"/>
  <c r="F12" i="3"/>
  <c r="B31" i="4"/>
  <c r="D31" i="3"/>
  <c r="AD32" i="4"/>
  <c r="W32" i="3"/>
  <c r="Z31" i="4"/>
  <c r="AB31" i="4" s="1"/>
  <c r="T31" i="3"/>
  <c r="X31" i="4"/>
  <c r="S31" i="3"/>
  <c r="T31" i="4"/>
  <c r="V31" i="4" s="1"/>
  <c r="P31" i="3"/>
  <c r="I8" i="4"/>
  <c r="I8" i="3"/>
  <c r="C36" i="42"/>
  <c r="C15" i="40"/>
  <c r="C24" i="34"/>
  <c r="C15" i="35"/>
  <c r="D24" i="26"/>
  <c r="C15" i="20"/>
  <c r="C36" i="18"/>
  <c r="B24" i="14"/>
  <c r="C15" i="42"/>
  <c r="B24" i="24"/>
  <c r="Y15" i="3"/>
  <c r="B28" i="26"/>
  <c r="X26" i="3"/>
  <c r="AD8" i="4"/>
  <c r="W8" i="3"/>
  <c r="W26" i="3"/>
  <c r="AD26" i="4"/>
  <c r="AD9" i="48" s="1"/>
  <c r="AD16" i="4"/>
  <c r="W16" i="3"/>
  <c r="T36" i="3"/>
  <c r="Z18" i="8"/>
  <c r="K47" i="7" s="1"/>
  <c r="Z25" i="4"/>
  <c r="AB25" i="4" s="1"/>
  <c r="T25" i="3"/>
  <c r="Z15" i="4"/>
  <c r="AB15" i="4" s="1"/>
  <c r="T15" i="3"/>
  <c r="L46" i="7"/>
  <c r="S36" i="3"/>
  <c r="X25" i="4"/>
  <c r="S25" i="3"/>
  <c r="X15" i="4"/>
  <c r="S15" i="3"/>
  <c r="K45" i="7"/>
  <c r="P36" i="3"/>
  <c r="T25" i="4"/>
  <c r="V25" i="4" s="1"/>
  <c r="P25" i="3"/>
  <c r="T15" i="4"/>
  <c r="V15" i="4" s="1"/>
  <c r="P15" i="3"/>
  <c r="R33" i="4"/>
  <c r="R10" i="48" s="1"/>
  <c r="O33" i="3"/>
  <c r="Q18" i="4"/>
  <c r="S18" i="4" s="1"/>
  <c r="N18" i="3"/>
  <c r="R18" i="4"/>
  <c r="O18" i="3"/>
  <c r="AG30" i="4"/>
  <c r="Y30" i="3"/>
  <c r="O26" i="4"/>
  <c r="O9" i="48" s="1"/>
  <c r="M26" i="3"/>
  <c r="M16" i="3"/>
  <c r="O16" i="4"/>
  <c r="K35" i="4"/>
  <c r="J35" i="3"/>
  <c r="K24" i="4"/>
  <c r="M24" i="4" s="1"/>
  <c r="J24" i="3"/>
  <c r="K12" i="4"/>
  <c r="J12" i="3"/>
  <c r="H20" i="4"/>
  <c r="J20" i="4" s="1"/>
  <c r="H20" i="3"/>
  <c r="H21" i="4"/>
  <c r="H21" i="3"/>
  <c r="C35" i="4"/>
  <c r="E35" i="3"/>
  <c r="D26" i="3"/>
  <c r="B26" i="4"/>
  <c r="B9" i="48" s="1"/>
  <c r="L39" i="7"/>
  <c r="E36" i="3"/>
  <c r="L41" i="7"/>
  <c r="I36" i="3"/>
  <c r="I19" i="4"/>
  <c r="I19" i="3"/>
  <c r="E32" i="4"/>
  <c r="G32" i="4" s="1"/>
  <c r="F32" i="3"/>
  <c r="F20" i="3"/>
  <c r="E20" i="4"/>
  <c r="G20" i="4" s="1"/>
  <c r="E10" i="4"/>
  <c r="G10" i="4" s="1"/>
  <c r="F10" i="3"/>
  <c r="D8" i="3"/>
  <c r="B8" i="4"/>
  <c r="B22" i="26"/>
  <c r="AF20" i="4"/>
  <c r="AH20" i="4" s="1"/>
  <c r="X20" i="3"/>
  <c r="AD10" i="4"/>
  <c r="W10" i="3"/>
  <c r="Z8" i="4"/>
  <c r="AB8" i="4" s="1"/>
  <c r="T8" i="3"/>
  <c r="X8" i="4"/>
  <c r="S8" i="3"/>
  <c r="T8" i="4"/>
  <c r="V8" i="4" s="1"/>
  <c r="P8" i="3"/>
  <c r="K7" i="4"/>
  <c r="M7" i="4" s="1"/>
  <c r="J7" i="3"/>
  <c r="C24" i="42"/>
  <c r="C36" i="38"/>
  <c r="B15" i="40"/>
  <c r="C15" i="34"/>
  <c r="D15" i="26"/>
  <c r="B36" i="19"/>
  <c r="C15" i="18"/>
  <c r="C15" i="16"/>
  <c r="C15" i="23"/>
  <c r="B15" i="28"/>
  <c r="C36" i="21"/>
  <c r="C15" i="21"/>
  <c r="AH24" i="4"/>
  <c r="X24" i="3"/>
  <c r="AD35" i="4"/>
  <c r="AD9" i="8" s="1"/>
  <c r="W35" i="3"/>
  <c r="AD24" i="4"/>
  <c r="W24" i="3"/>
  <c r="AD12" i="4"/>
  <c r="AD7" i="48" s="1"/>
  <c r="W12" i="3"/>
  <c r="Z33" i="4"/>
  <c r="T33" i="3"/>
  <c r="T21" i="3"/>
  <c r="Z21" i="4"/>
  <c r="Z11" i="4"/>
  <c r="AB11" i="4" s="1"/>
  <c r="T11" i="3"/>
  <c r="X33" i="4"/>
  <c r="X10" i="48" s="1"/>
  <c r="S33" i="3"/>
  <c r="X21" i="4"/>
  <c r="X8" i="48" s="1"/>
  <c r="S21" i="3"/>
  <c r="X11" i="4"/>
  <c r="S11" i="3"/>
  <c r="T33" i="4"/>
  <c r="P33" i="3"/>
  <c r="P21" i="3"/>
  <c r="T21" i="4"/>
  <c r="T11" i="4"/>
  <c r="V11" i="4" s="1"/>
  <c r="P11" i="3"/>
  <c r="R31" i="4"/>
  <c r="O31" i="3"/>
  <c r="L44" i="7"/>
  <c r="O36" i="3"/>
  <c r="R12" i="4"/>
  <c r="R7" i="48" s="1"/>
  <c r="O12" i="3"/>
  <c r="O35" i="4"/>
  <c r="O9" i="8" s="1"/>
  <c r="M35" i="3"/>
  <c r="O24" i="4"/>
  <c r="M24" i="3"/>
  <c r="O12" i="4"/>
  <c r="O7" i="48" s="1"/>
  <c r="M12" i="3"/>
  <c r="K32" i="4"/>
  <c r="M32" i="4" s="1"/>
  <c r="J32" i="3"/>
  <c r="K20" i="4"/>
  <c r="M20" i="4" s="1"/>
  <c r="J20" i="3"/>
  <c r="K10" i="4"/>
  <c r="M10" i="4" s="1"/>
  <c r="J10" i="3"/>
  <c r="K41" i="7"/>
  <c r="H36" i="3"/>
  <c r="H19" i="4"/>
  <c r="J19" i="4" s="1"/>
  <c r="H19" i="3"/>
  <c r="B30" i="4"/>
  <c r="D30" i="3"/>
  <c r="B20" i="4"/>
  <c r="D20" i="3"/>
  <c r="C21" i="4"/>
  <c r="C8" i="48" s="1"/>
  <c r="E21" i="3"/>
  <c r="I33" i="4"/>
  <c r="I10" i="48" s="1"/>
  <c r="I33" i="3"/>
  <c r="I15" i="4"/>
  <c r="I15" i="3"/>
  <c r="E30" i="4"/>
  <c r="G30" i="4" s="1"/>
  <c r="F30" i="3"/>
  <c r="E18" i="4"/>
  <c r="G18" i="4" s="1"/>
  <c r="F18" i="3"/>
  <c r="AL18" i="4"/>
  <c r="AN18" i="4" s="1"/>
  <c r="AB18" i="3"/>
  <c r="C10" i="4"/>
  <c r="E10" i="3"/>
  <c r="C15" i="14"/>
  <c r="C24" i="39"/>
  <c r="AR33" i="4"/>
  <c r="AF33" i="3"/>
  <c r="AR11" i="4"/>
  <c r="AT11" i="4" s="1"/>
  <c r="AF11" i="3"/>
  <c r="C29" i="35"/>
  <c r="C15" i="33"/>
  <c r="AR32" i="4"/>
  <c r="AT32" i="4" s="1"/>
  <c r="AF32" i="3"/>
  <c r="AR10" i="4"/>
  <c r="AT10" i="4" s="1"/>
  <c r="AF10" i="3"/>
  <c r="AP18" i="4"/>
  <c r="AE18" i="3"/>
  <c r="AL29" i="4"/>
  <c r="AN29" i="4" s="1"/>
  <c r="AB29" i="3"/>
  <c r="B36" i="28"/>
  <c r="L50" i="7"/>
  <c r="AA36" i="3"/>
  <c r="AJ15" i="4"/>
  <c r="AA15" i="3"/>
  <c r="C24" i="27"/>
  <c r="AD29" i="4"/>
  <c r="W29" i="3"/>
  <c r="C36" i="25"/>
  <c r="Z35" i="4"/>
  <c r="T35" i="3"/>
  <c r="Z12" i="4"/>
  <c r="T12" i="3"/>
  <c r="B15" i="24"/>
  <c r="Z15" i="49" s="1"/>
  <c r="X20" i="4"/>
  <c r="S20" i="3"/>
  <c r="C24" i="23"/>
  <c r="X24" i="49" s="1"/>
  <c r="P30" i="3"/>
  <c r="T30" i="4"/>
  <c r="V30" i="4" s="1"/>
  <c r="B36" i="22"/>
  <c r="T36" i="49" s="1"/>
  <c r="T7" i="4"/>
  <c r="V7" i="4" s="1"/>
  <c r="P7" i="3"/>
  <c r="B15" i="22"/>
  <c r="T15" i="49" s="1"/>
  <c r="AA25" i="4"/>
  <c r="U25" i="3"/>
  <c r="C29" i="24"/>
  <c r="AA29" i="49" s="1"/>
  <c r="W26" i="4"/>
  <c r="R26" i="3"/>
  <c r="W10" i="4"/>
  <c r="Y10" i="4" s="1"/>
  <c r="R10" i="3"/>
  <c r="U15" i="4"/>
  <c r="Q15" i="3"/>
  <c r="C24" i="22"/>
  <c r="B24" i="41"/>
  <c r="C36" i="37"/>
  <c r="AL30" i="4"/>
  <c r="AN30" i="4" s="1"/>
  <c r="AB30" i="3"/>
  <c r="C15" i="38"/>
  <c r="B36" i="40"/>
  <c r="AR21" i="4"/>
  <c r="AF21" i="3"/>
  <c r="C36" i="33"/>
  <c r="AU21" i="4"/>
  <c r="AH21" i="3"/>
  <c r="AR20" i="4"/>
  <c r="AT20" i="4" s="1"/>
  <c r="AF20" i="3"/>
  <c r="AP30" i="4"/>
  <c r="AE30" i="3"/>
  <c r="C36" i="29"/>
  <c r="AP36" i="49" s="1"/>
  <c r="AE7" i="3"/>
  <c r="AP7" i="4"/>
  <c r="C15" i="29"/>
  <c r="AP15" i="49" s="1"/>
  <c r="AL17" i="4"/>
  <c r="AN17" i="4" s="1"/>
  <c r="AB17" i="3"/>
  <c r="AJ25" i="4"/>
  <c r="AA25" i="3"/>
  <c r="C29" i="27"/>
  <c r="AJ29" i="49" s="1"/>
  <c r="AF15" i="4"/>
  <c r="X15" i="3"/>
  <c r="B17" i="26"/>
  <c r="AD17" i="4"/>
  <c r="W17" i="3"/>
  <c r="C24" i="25"/>
  <c r="Z24" i="4"/>
  <c r="AB24" i="4" s="1"/>
  <c r="T24" i="3"/>
  <c r="X32" i="4"/>
  <c r="S32" i="3"/>
  <c r="C36" i="23"/>
  <c r="X36" i="49" s="1"/>
  <c r="X10" i="4"/>
  <c r="S10" i="3"/>
  <c r="T18" i="4"/>
  <c r="V18" i="4" s="1"/>
  <c r="P18" i="3"/>
  <c r="B24" i="22"/>
  <c r="T24" i="49" s="1"/>
  <c r="Q31" i="4"/>
  <c r="S31" i="4" s="1"/>
  <c r="N31" i="3"/>
  <c r="B36" i="21"/>
  <c r="Q36" i="49" s="1"/>
  <c r="U15" i="3"/>
  <c r="AA15" i="4"/>
  <c r="C24" i="24"/>
  <c r="AA24" i="49" s="1"/>
  <c r="U29" i="4"/>
  <c r="Q29" i="3"/>
  <c r="C36" i="22"/>
  <c r="C15" i="45"/>
  <c r="C36" i="45"/>
  <c r="C15" i="39"/>
  <c r="B24" i="40"/>
  <c r="C24" i="35"/>
  <c r="B24" i="31"/>
  <c r="AU24" i="49" s="1"/>
  <c r="B29" i="23"/>
  <c r="C36" i="40"/>
  <c r="B15" i="23"/>
  <c r="W15" i="49" s="1"/>
  <c r="F16" i="4"/>
  <c r="G16" i="3"/>
  <c r="F30" i="4"/>
  <c r="G30" i="3"/>
  <c r="C36" i="17"/>
  <c r="F36" i="49" s="1"/>
  <c r="F29" i="4"/>
  <c r="G29" i="3"/>
  <c r="F17" i="4"/>
  <c r="G17" i="3"/>
  <c r="B10" i="4"/>
  <c r="D10" i="3"/>
  <c r="C15" i="37"/>
  <c r="AL7" i="4"/>
  <c r="AN7" i="4" s="1"/>
  <c r="AB7" i="3"/>
  <c r="B36" i="16"/>
  <c r="B12" i="4"/>
  <c r="B7" i="48" s="1"/>
  <c r="D12" i="3"/>
  <c r="B15" i="42"/>
  <c r="C36" i="39"/>
  <c r="C24" i="38"/>
  <c r="B24" i="28"/>
  <c r="B15" i="14"/>
  <c r="C36" i="34"/>
  <c r="C24" i="29"/>
  <c r="AP24" i="49" s="1"/>
  <c r="Q26" i="4"/>
  <c r="N26" i="3"/>
  <c r="B29" i="21"/>
  <c r="Q29" i="49" s="1"/>
  <c r="N19" i="3"/>
  <c r="Q19" i="4"/>
  <c r="S19" i="4" s="1"/>
  <c r="L43" i="7"/>
  <c r="M36" i="3"/>
  <c r="O25" i="4"/>
  <c r="M25" i="3"/>
  <c r="C29" i="20"/>
  <c r="O29" i="49" s="1"/>
  <c r="O15" i="4"/>
  <c r="M15" i="3"/>
  <c r="C24" i="20"/>
  <c r="K42" i="7"/>
  <c r="J36" i="3"/>
  <c r="K25" i="4"/>
  <c r="M25" i="4" s="1"/>
  <c r="J25" i="3"/>
  <c r="K15" i="4"/>
  <c r="M15" i="4" s="1"/>
  <c r="J15" i="3"/>
  <c r="H32" i="4"/>
  <c r="J32" i="4" s="1"/>
  <c r="H32" i="3"/>
  <c r="B36" i="18"/>
  <c r="H36" i="49" s="1"/>
  <c r="H24" i="4"/>
  <c r="J24" i="4" s="1"/>
  <c r="H24" i="3"/>
  <c r="B29" i="18"/>
  <c r="B36" i="33"/>
  <c r="B15" i="33"/>
  <c r="L54" i="7"/>
  <c r="AI36" i="3"/>
  <c r="AO26" i="4"/>
  <c r="AD26" i="3"/>
  <c r="B29" i="29"/>
  <c r="AO16" i="4"/>
  <c r="AQ16" i="4" s="1"/>
  <c r="AD16" i="3"/>
  <c r="B24" i="29"/>
  <c r="AO24" i="49" s="1"/>
  <c r="AL5" i="4"/>
  <c r="AN5" i="4" s="1"/>
  <c r="AB5" i="3"/>
  <c r="AM16" i="4"/>
  <c r="AC16" i="3"/>
  <c r="C24" i="28"/>
  <c r="AM24" i="49" s="1"/>
  <c r="AI18" i="8"/>
  <c r="K50" i="7" s="1"/>
  <c r="Z36" i="3"/>
  <c r="Z25" i="3"/>
  <c r="AI25" i="4"/>
  <c r="AK25" i="4" s="1"/>
  <c r="B29" i="27"/>
  <c r="AI29" i="49" s="1"/>
  <c r="AI15" i="4"/>
  <c r="AK15" i="4" s="1"/>
  <c r="Z15" i="3"/>
  <c r="B24" i="27"/>
  <c r="AG25" i="4"/>
  <c r="Y25" i="3"/>
  <c r="D29" i="26"/>
  <c r="AG29" i="49" s="1"/>
  <c r="AG24" i="4"/>
  <c r="Y24" i="3"/>
  <c r="AC18" i="8"/>
  <c r="K48" i="7" s="1"/>
  <c r="V36" i="3"/>
  <c r="B29" i="34"/>
  <c r="C24" i="21"/>
  <c r="R24" i="49" s="1"/>
  <c r="R15" i="4"/>
  <c r="O15" i="3"/>
  <c r="N30" i="4"/>
  <c r="P30" i="4" s="1"/>
  <c r="L30" i="3"/>
  <c r="N18" i="4"/>
  <c r="P18" i="4" s="1"/>
  <c r="L18" i="3"/>
  <c r="B24" i="20"/>
  <c r="N7" i="4"/>
  <c r="P7" i="4" s="1"/>
  <c r="L7" i="3"/>
  <c r="B15" i="20"/>
  <c r="C36" i="19"/>
  <c r="L36" i="49" s="1"/>
  <c r="L29" i="4"/>
  <c r="K29" i="3"/>
  <c r="L17" i="4"/>
  <c r="K17" i="3"/>
  <c r="I35" i="4"/>
  <c r="I9" i="8" s="1"/>
  <c r="I35" i="3"/>
  <c r="I20" i="4"/>
  <c r="I20" i="3"/>
  <c r="C24" i="18"/>
  <c r="E33" i="4"/>
  <c r="F33" i="3"/>
  <c r="E21" i="4"/>
  <c r="F21" i="3"/>
  <c r="E11" i="4"/>
  <c r="G11" i="4" s="1"/>
  <c r="F11" i="3"/>
  <c r="B15" i="17"/>
  <c r="E15" i="49" s="1"/>
  <c r="B24" i="44"/>
  <c r="C29" i="39"/>
  <c r="B29" i="40"/>
  <c r="C24" i="36"/>
  <c r="K53" i="7"/>
  <c r="AF36" i="3"/>
  <c r="AR25" i="4"/>
  <c r="AT25" i="4" s="1"/>
  <c r="AF25" i="3"/>
  <c r="B24" i="30"/>
  <c r="AR24" i="49" s="1"/>
  <c r="AR15" i="4"/>
  <c r="AT15" i="4" s="1"/>
  <c r="AF15" i="3"/>
  <c r="AL32" i="4"/>
  <c r="AN32" i="4" s="1"/>
  <c r="AB32" i="3"/>
  <c r="AL20" i="4"/>
  <c r="AN20" i="4" s="1"/>
  <c r="AB20" i="3"/>
  <c r="AL10" i="4"/>
  <c r="AN10" i="4" s="1"/>
  <c r="AB10" i="3"/>
  <c r="AU19" i="4"/>
  <c r="AW19" i="4" s="1"/>
  <c r="AH19" i="3"/>
  <c r="AU20" i="4"/>
  <c r="AW20" i="4" s="1"/>
  <c r="AH20" i="3"/>
  <c r="AR24" i="4"/>
  <c r="AT24" i="4" s="1"/>
  <c r="AF24" i="3"/>
  <c r="AR12" i="4"/>
  <c r="AF12" i="3"/>
  <c r="AP32" i="4"/>
  <c r="AE32" i="3"/>
  <c r="AP20" i="4"/>
  <c r="AE20" i="3"/>
  <c r="AP10" i="4"/>
  <c r="AE10" i="3"/>
  <c r="AL31" i="4"/>
  <c r="AN31" i="4" s="1"/>
  <c r="AB31" i="3"/>
  <c r="AL19" i="4"/>
  <c r="AN19" i="4" s="1"/>
  <c r="AB19" i="3"/>
  <c r="AL8" i="4"/>
  <c r="AN8" i="4" s="1"/>
  <c r="AB8" i="3"/>
  <c r="AJ29" i="4"/>
  <c r="AA29" i="3"/>
  <c r="AJ17" i="4"/>
  <c r="AA17" i="3"/>
  <c r="AA5" i="3"/>
  <c r="AJ5" i="4"/>
  <c r="AD31" i="4"/>
  <c r="W31" i="3"/>
  <c r="AD19" i="4"/>
  <c r="W19" i="3"/>
  <c r="W5" i="3"/>
  <c r="AD5" i="4"/>
  <c r="Z26" i="4"/>
  <c r="T26" i="3"/>
  <c r="Z16" i="4"/>
  <c r="AB16" i="4" s="1"/>
  <c r="T16" i="3"/>
  <c r="X35" i="4"/>
  <c r="X9" i="8" s="1"/>
  <c r="S35" i="3"/>
  <c r="S24" i="3"/>
  <c r="X24" i="4"/>
  <c r="X12" i="4"/>
  <c r="X7" i="48" s="1"/>
  <c r="S12" i="3"/>
  <c r="T32" i="4"/>
  <c r="V32" i="4" s="1"/>
  <c r="P32" i="3"/>
  <c r="T20" i="4"/>
  <c r="V20" i="4" s="1"/>
  <c r="P20" i="3"/>
  <c r="T10" i="4"/>
  <c r="V10" i="4" s="1"/>
  <c r="P10" i="3"/>
  <c r="Q33" i="4"/>
  <c r="N33" i="3"/>
  <c r="Q21" i="4"/>
  <c r="N21" i="3"/>
  <c r="Q8" i="4"/>
  <c r="S8" i="4" s="1"/>
  <c r="N8" i="3"/>
  <c r="O29" i="4"/>
  <c r="M29" i="3"/>
  <c r="O17" i="4"/>
  <c r="M17" i="3"/>
  <c r="M5" i="3"/>
  <c r="O5" i="4"/>
  <c r="K29" i="4"/>
  <c r="M29" i="4" s="1"/>
  <c r="J29" i="3"/>
  <c r="K17" i="4"/>
  <c r="M17" i="4" s="1"/>
  <c r="J17" i="3"/>
  <c r="K5" i="4"/>
  <c r="M5" i="4" s="1"/>
  <c r="J5" i="3"/>
  <c r="H26" i="4"/>
  <c r="H26" i="3"/>
  <c r="AO30" i="4"/>
  <c r="AQ30" i="4" s="1"/>
  <c r="AD30" i="3"/>
  <c r="AD18" i="3"/>
  <c r="AO18" i="4"/>
  <c r="AQ18" i="4" s="1"/>
  <c r="AO7" i="4"/>
  <c r="AQ7" i="4" s="1"/>
  <c r="AD7" i="3"/>
  <c r="AM18" i="4"/>
  <c r="AC18" i="3"/>
  <c r="AC7" i="3"/>
  <c r="AM7" i="4"/>
  <c r="Z29" i="3"/>
  <c r="AI29" i="4"/>
  <c r="AK29" i="4" s="1"/>
  <c r="AI17" i="4"/>
  <c r="AK17" i="4" s="1"/>
  <c r="Z17" i="3"/>
  <c r="AI5" i="4"/>
  <c r="AK5" i="4" s="1"/>
  <c r="Z5" i="3"/>
  <c r="AG9" i="48"/>
  <c r="Y26" i="3"/>
  <c r="AG12" i="4"/>
  <c r="AG7" i="48" s="1"/>
  <c r="Y12" i="3"/>
  <c r="AC5" i="4"/>
  <c r="AE5" i="4" s="1"/>
  <c r="V5" i="3"/>
  <c r="R19" i="4"/>
  <c r="O19" i="3"/>
  <c r="N32" i="4"/>
  <c r="P32" i="4" s="1"/>
  <c r="L32" i="3"/>
  <c r="N20" i="4"/>
  <c r="P20" i="4" s="1"/>
  <c r="L20" i="3"/>
  <c r="N10" i="4"/>
  <c r="P10" i="4" s="1"/>
  <c r="L10" i="3"/>
  <c r="L31" i="4"/>
  <c r="K31" i="3"/>
  <c r="L19" i="4"/>
  <c r="K19" i="3"/>
  <c r="L8" i="4"/>
  <c r="K8" i="3"/>
  <c r="C29" i="18"/>
  <c r="I29" i="49" s="1"/>
  <c r="I24" i="4"/>
  <c r="I24" i="3"/>
  <c r="E18" i="8"/>
  <c r="F36" i="3"/>
  <c r="E25" i="4"/>
  <c r="G25" i="4" s="1"/>
  <c r="F25" i="3"/>
  <c r="B24" i="17"/>
  <c r="E24" i="49" s="1"/>
  <c r="E15" i="4"/>
  <c r="G15" i="4" s="1"/>
  <c r="F15" i="3"/>
  <c r="B19" i="4"/>
  <c r="D19" i="3"/>
  <c r="C26" i="4"/>
  <c r="C9" i="48" s="1"/>
  <c r="E26" i="3"/>
  <c r="C12" i="4"/>
  <c r="C7" i="48" s="1"/>
  <c r="E12" i="3"/>
  <c r="B24" i="33"/>
  <c r="AA29" i="4"/>
  <c r="U29" i="3"/>
  <c r="U17" i="3"/>
  <c r="AA17" i="4"/>
  <c r="W35" i="4"/>
  <c r="R35" i="3"/>
  <c r="W12" i="4"/>
  <c r="R12" i="3"/>
  <c r="U31" i="4"/>
  <c r="Q31" i="3"/>
  <c r="U17" i="4"/>
  <c r="Q17" i="3"/>
  <c r="G32" i="3"/>
  <c r="F32" i="4"/>
  <c r="F31" i="4"/>
  <c r="G31" i="3"/>
  <c r="F19" i="4"/>
  <c r="G19" i="3"/>
  <c r="F8" i="4"/>
  <c r="G8" i="3"/>
  <c r="C15" i="26"/>
  <c r="C24" i="37"/>
  <c r="B36" i="42"/>
  <c r="B24" i="42"/>
  <c r="AR31" i="4"/>
  <c r="AT31" i="4" s="1"/>
  <c r="AF31" i="3"/>
  <c r="AF19" i="3"/>
  <c r="AR19" i="4"/>
  <c r="AT19" i="4" s="1"/>
  <c r="AF8" i="3"/>
  <c r="AR8" i="4"/>
  <c r="AT8" i="4" s="1"/>
  <c r="AL26" i="4"/>
  <c r="AB26" i="3"/>
  <c r="AL16" i="4"/>
  <c r="AN16" i="4" s="1"/>
  <c r="AB16" i="3"/>
  <c r="C24" i="45"/>
  <c r="AU30" i="4"/>
  <c r="AW30" i="4" s="1"/>
  <c r="AH30" i="3"/>
  <c r="AR30" i="4"/>
  <c r="AT30" i="4" s="1"/>
  <c r="AF30" i="3"/>
  <c r="AR18" i="4"/>
  <c r="AT18" i="4" s="1"/>
  <c r="AF18" i="3"/>
  <c r="AR7" i="4"/>
  <c r="AT7" i="4" s="1"/>
  <c r="AF7" i="3"/>
  <c r="AP26" i="4"/>
  <c r="AP9" i="48" s="1"/>
  <c r="AE26" i="3"/>
  <c r="AP16" i="4"/>
  <c r="AE16" i="3"/>
  <c r="K51" i="7"/>
  <c r="AB36" i="3"/>
  <c r="AL25" i="4"/>
  <c r="AN25" i="4" s="1"/>
  <c r="AB25" i="3"/>
  <c r="AL15" i="4"/>
  <c r="AN15" i="4" s="1"/>
  <c r="AB15" i="3"/>
  <c r="AJ33" i="4"/>
  <c r="AJ10" i="48" s="1"/>
  <c r="AA33" i="3"/>
  <c r="AJ21" i="4"/>
  <c r="AJ8" i="48" s="1"/>
  <c r="AA21" i="3"/>
  <c r="AJ11" i="4"/>
  <c r="AA11" i="3"/>
  <c r="L48" i="7"/>
  <c r="W36" i="3"/>
  <c r="AD25" i="4"/>
  <c r="W25" i="3"/>
  <c r="AD15" i="4"/>
  <c r="W15" i="3"/>
  <c r="Z32" i="4"/>
  <c r="AB32" i="4" s="1"/>
  <c r="T32" i="3"/>
  <c r="Z20" i="4"/>
  <c r="AB20" i="4" s="1"/>
  <c r="T20" i="3"/>
  <c r="Z10" i="4"/>
  <c r="AB10" i="4" s="1"/>
  <c r="T10" i="3"/>
  <c r="X30" i="4"/>
  <c r="S30" i="3"/>
  <c r="X18" i="4"/>
  <c r="S18" i="3"/>
  <c r="X7" i="4"/>
  <c r="S7" i="3"/>
  <c r="P26" i="3"/>
  <c r="T26" i="4"/>
  <c r="T16" i="4"/>
  <c r="V16" i="4" s="1"/>
  <c r="P16" i="3"/>
  <c r="O25" i="3"/>
  <c r="R25" i="4"/>
  <c r="B24" i="21"/>
  <c r="Q24" i="49" s="1"/>
  <c r="Q15" i="4"/>
  <c r="S15" i="4" s="1"/>
  <c r="N15" i="3"/>
  <c r="O33" i="4"/>
  <c r="O10" i="48" s="1"/>
  <c r="M33" i="3"/>
  <c r="O21" i="4"/>
  <c r="O8" i="48" s="1"/>
  <c r="M21" i="3"/>
  <c r="O11" i="4"/>
  <c r="M11" i="3"/>
  <c r="K33" i="4"/>
  <c r="J33" i="3"/>
  <c r="K21" i="4"/>
  <c r="J21" i="3"/>
  <c r="J11" i="3"/>
  <c r="K11" i="4"/>
  <c r="M11" i="4" s="1"/>
  <c r="H18" i="3"/>
  <c r="H18" i="4"/>
  <c r="J18" i="4" s="1"/>
  <c r="H12" i="4"/>
  <c r="H12" i="3"/>
  <c r="B29" i="33"/>
  <c r="AV21" i="4"/>
  <c r="AV8" i="48" s="1"/>
  <c r="AI21" i="3"/>
  <c r="AO35" i="4"/>
  <c r="AD35" i="3"/>
  <c r="AO24" i="4"/>
  <c r="AQ24" i="4" s="1"/>
  <c r="AD24" i="3"/>
  <c r="AD12" i="3"/>
  <c r="AO12" i="4"/>
  <c r="AM35" i="4"/>
  <c r="AM9" i="8" s="1"/>
  <c r="AC35" i="3"/>
  <c r="AM12" i="4"/>
  <c r="AM7" i="48" s="1"/>
  <c r="AC12" i="3"/>
  <c r="AI33" i="4"/>
  <c r="Z33" i="3"/>
  <c r="AI21" i="4"/>
  <c r="Z21" i="3"/>
  <c r="AI11" i="4"/>
  <c r="AK11" i="4" s="1"/>
  <c r="Z11" i="3"/>
  <c r="AG11" i="4"/>
  <c r="Y11" i="3"/>
  <c r="AG20" i="4"/>
  <c r="Y20" i="3"/>
  <c r="AC25" i="4"/>
  <c r="AE25" i="4" s="1"/>
  <c r="V25" i="3"/>
  <c r="N26" i="4"/>
  <c r="L26" i="3"/>
  <c r="N16" i="4"/>
  <c r="P16" i="4" s="1"/>
  <c r="L16" i="3"/>
  <c r="L42" i="7"/>
  <c r="K36" i="3"/>
  <c r="L25" i="4"/>
  <c r="K25" i="3"/>
  <c r="C24" i="19"/>
  <c r="L24" i="49" s="1"/>
  <c r="L15" i="4"/>
  <c r="K15" i="3"/>
  <c r="I30" i="4"/>
  <c r="I30" i="3"/>
  <c r="I18" i="4"/>
  <c r="I18" i="3"/>
  <c r="E31" i="4"/>
  <c r="G31" i="4" s="1"/>
  <c r="F31" i="3"/>
  <c r="E19" i="4"/>
  <c r="G19" i="4" s="1"/>
  <c r="F19" i="3"/>
  <c r="E8" i="4"/>
  <c r="G8" i="4" s="1"/>
  <c r="F8" i="3"/>
  <c r="B35" i="4"/>
  <c r="D35" i="3"/>
  <c r="C32" i="4"/>
  <c r="E32" i="3"/>
  <c r="C20" i="4"/>
  <c r="E20" i="3"/>
  <c r="E7" i="3"/>
  <c r="C7" i="4"/>
  <c r="AA21" i="4"/>
  <c r="AA8" i="48" s="1"/>
  <c r="U21" i="3"/>
  <c r="AA11" i="4"/>
  <c r="U11" i="3"/>
  <c r="W24" i="4"/>
  <c r="Y24" i="4" s="1"/>
  <c r="R24" i="3"/>
  <c r="W7" i="4"/>
  <c r="Y7" i="4" s="1"/>
  <c r="R7" i="3"/>
  <c r="U21" i="4"/>
  <c r="U8" i="48" s="1"/>
  <c r="Q21" i="3"/>
  <c r="F18" i="4"/>
  <c r="G18" i="3"/>
  <c r="L40" i="7"/>
  <c r="G36" i="3"/>
  <c r="F25" i="4"/>
  <c r="G25" i="3"/>
  <c r="C24" i="17"/>
  <c r="F24" i="49" s="1"/>
  <c r="F15" i="4"/>
  <c r="G15" i="3"/>
  <c r="B29" i="25"/>
  <c r="AC29" i="49" s="1"/>
  <c r="B36" i="44"/>
  <c r="B15" i="44"/>
  <c r="C29" i="38"/>
  <c r="B29" i="42"/>
  <c r="C29" i="45"/>
  <c r="AU18" i="8"/>
  <c r="K54" i="7" s="1"/>
  <c r="AH36" i="3"/>
  <c r="B36" i="30"/>
  <c r="AR36" i="49" s="1"/>
  <c r="AF29" i="3"/>
  <c r="AR29" i="4"/>
  <c r="AT29" i="4" s="1"/>
  <c r="AR17" i="4"/>
  <c r="AT17" i="4" s="1"/>
  <c r="AF17" i="3"/>
  <c r="B15" i="30"/>
  <c r="AR15" i="49" s="1"/>
  <c r="AR5" i="4"/>
  <c r="AT5" i="4" s="1"/>
  <c r="AF5" i="3"/>
  <c r="AL35" i="4"/>
  <c r="AB35" i="3"/>
  <c r="B29" i="28"/>
  <c r="AL29" i="49" s="1"/>
  <c r="AL24" i="4"/>
  <c r="AN24" i="4" s="1"/>
  <c r="AB24" i="3"/>
  <c r="AL12" i="4"/>
  <c r="AB12" i="3"/>
  <c r="Q12" i="4"/>
  <c r="N12" i="3"/>
  <c r="AU26" i="4"/>
  <c r="AH26" i="3"/>
  <c r="AF26" i="3"/>
  <c r="AR26" i="4"/>
  <c r="AR16" i="4"/>
  <c r="AT16" i="4" s="1"/>
  <c r="AF16" i="3"/>
  <c r="AP35" i="4"/>
  <c r="AP9" i="8" s="1"/>
  <c r="AE35" i="3"/>
  <c r="AP24" i="4"/>
  <c r="AE24" i="3"/>
  <c r="AP12" i="4"/>
  <c r="AP7" i="48" s="1"/>
  <c r="AE12" i="3"/>
  <c r="AL33" i="4"/>
  <c r="AB33" i="3"/>
  <c r="AL21" i="4"/>
  <c r="AB21" i="3"/>
  <c r="AL11" i="4"/>
  <c r="AN11" i="4" s="1"/>
  <c r="AB11" i="3"/>
  <c r="AJ31" i="4"/>
  <c r="AA31" i="3"/>
  <c r="AJ19" i="4"/>
  <c r="AA19" i="3"/>
  <c r="AJ8" i="4"/>
  <c r="AA8" i="3"/>
  <c r="AD33" i="4"/>
  <c r="AD10" i="48" s="1"/>
  <c r="W33" i="3"/>
  <c r="AD21" i="4"/>
  <c r="AD8" i="48" s="1"/>
  <c r="W21" i="3"/>
  <c r="AD11" i="4"/>
  <c r="W11" i="3"/>
  <c r="Z30" i="4"/>
  <c r="AB30" i="4" s="1"/>
  <c r="T30" i="3"/>
  <c r="Z18" i="4"/>
  <c r="AB18" i="4" s="1"/>
  <c r="T18" i="3"/>
  <c r="Z7" i="4"/>
  <c r="AB7" i="4" s="1"/>
  <c r="T7" i="3"/>
  <c r="X26" i="4"/>
  <c r="X9" i="48" s="1"/>
  <c r="S26" i="3"/>
  <c r="X16" i="4"/>
  <c r="S16" i="3"/>
  <c r="T35" i="4"/>
  <c r="P35" i="3"/>
  <c r="T24" i="4"/>
  <c r="V24" i="4" s="1"/>
  <c r="P24" i="3"/>
  <c r="T12" i="4"/>
  <c r="P12" i="3"/>
  <c r="Q18" i="8"/>
  <c r="K44" i="7" s="1"/>
  <c r="N36" i="3"/>
  <c r="Q25" i="4"/>
  <c r="S25" i="4" s="1"/>
  <c r="N25" i="3"/>
  <c r="Q11" i="4"/>
  <c r="S11" i="4" s="1"/>
  <c r="N11" i="3"/>
  <c r="O31" i="4"/>
  <c r="M31" i="3"/>
  <c r="O19" i="4"/>
  <c r="M19" i="3"/>
  <c r="M8" i="3"/>
  <c r="O8" i="4"/>
  <c r="J31" i="3"/>
  <c r="K31" i="4"/>
  <c r="M31" i="4" s="1"/>
  <c r="K19" i="4"/>
  <c r="M19" i="4" s="1"/>
  <c r="J19" i="3"/>
  <c r="K8" i="4"/>
  <c r="M8" i="4" s="1"/>
  <c r="J8" i="3"/>
  <c r="H35" i="3"/>
  <c r="H35" i="4"/>
  <c r="AV19" i="4"/>
  <c r="AI19" i="3"/>
  <c r="AO32" i="4"/>
  <c r="AQ32" i="4" s="1"/>
  <c r="AD32" i="3"/>
  <c r="AO20" i="4"/>
  <c r="AQ20" i="4" s="1"/>
  <c r="AD20" i="3"/>
  <c r="AO10" i="4"/>
  <c r="AQ10" i="4" s="1"/>
  <c r="AD10" i="3"/>
  <c r="AC20" i="3"/>
  <c r="AM20" i="4"/>
  <c r="AC10" i="3"/>
  <c r="AM10" i="4"/>
  <c r="AI31" i="4"/>
  <c r="AK31" i="4" s="1"/>
  <c r="Z31" i="3"/>
  <c r="Z19" i="3"/>
  <c r="AI19" i="4"/>
  <c r="AK19" i="4" s="1"/>
  <c r="Z8" i="3"/>
  <c r="AI8" i="4"/>
  <c r="AK8" i="4" s="1"/>
  <c r="AG35" i="4"/>
  <c r="AG9" i="8" s="1"/>
  <c r="Y35" i="3"/>
  <c r="AG18" i="4"/>
  <c r="Y18" i="3"/>
  <c r="V11" i="3"/>
  <c r="AC11" i="4"/>
  <c r="AE11" i="4" s="1"/>
  <c r="R21" i="4"/>
  <c r="R8" i="48" s="1"/>
  <c r="O21" i="3"/>
  <c r="N35" i="4"/>
  <c r="L35" i="3"/>
  <c r="B29" i="20"/>
  <c r="N29" i="49" s="1"/>
  <c r="L24" i="3"/>
  <c r="N24" i="4"/>
  <c r="P24" i="4" s="1"/>
  <c r="N12" i="4"/>
  <c r="L12" i="3"/>
  <c r="K33" i="3"/>
  <c r="L33" i="4"/>
  <c r="L10" i="48" s="1"/>
  <c r="L21" i="4"/>
  <c r="L8" i="48" s="1"/>
  <c r="K21" i="3"/>
  <c r="L11" i="4"/>
  <c r="K11" i="3"/>
  <c r="I26" i="4"/>
  <c r="I9" i="48" s="1"/>
  <c r="I26" i="3"/>
  <c r="I12" i="4"/>
  <c r="I7" i="48" s="1"/>
  <c r="I12" i="3"/>
  <c r="B36" i="17"/>
  <c r="E36" i="49" s="1"/>
  <c r="E29" i="4"/>
  <c r="G29" i="4" s="1"/>
  <c r="F29" i="3"/>
  <c r="E17" i="4"/>
  <c r="F17" i="3"/>
  <c r="B21" i="4"/>
  <c r="B8" i="48" s="1"/>
  <c r="D21" i="3"/>
  <c r="C30" i="4"/>
  <c r="E30" i="3"/>
  <c r="C18" i="4"/>
  <c r="E18" i="3"/>
  <c r="B15" i="29"/>
  <c r="AO15" i="49" s="1"/>
  <c r="L47" i="7"/>
  <c r="U36" i="3"/>
  <c r="U19" i="3"/>
  <c r="AA19" i="4"/>
  <c r="U5" i="3"/>
  <c r="AA5" i="4"/>
  <c r="W16" i="4"/>
  <c r="Y16" i="4" s="1"/>
  <c r="R16" i="3"/>
  <c r="U33" i="4"/>
  <c r="U10" i="48" s="1"/>
  <c r="Q33" i="3"/>
  <c r="U19" i="4"/>
  <c r="Q19" i="3"/>
  <c r="B24" i="18"/>
  <c r="H24" i="49" s="1"/>
  <c r="F20" i="4"/>
  <c r="G20" i="3"/>
  <c r="G33" i="3"/>
  <c r="F33" i="4"/>
  <c r="F10" i="48" s="1"/>
  <c r="F21" i="4"/>
  <c r="F8" i="48" s="1"/>
  <c r="G21" i="3"/>
  <c r="F11" i="4"/>
  <c r="G11" i="3"/>
  <c r="B24" i="23"/>
  <c r="W24" i="49" s="1"/>
  <c r="B29" i="41"/>
  <c r="Y19" i="3"/>
  <c r="AR35" i="4"/>
  <c r="AF35" i="3"/>
  <c r="L49" i="7"/>
  <c r="Y36" i="3"/>
  <c r="B27" i="26"/>
  <c r="AF25" i="4"/>
  <c r="X25" i="3"/>
  <c r="AC33" i="4"/>
  <c r="V33" i="3"/>
  <c r="AG8" i="4"/>
  <c r="Y8" i="3"/>
  <c r="K49" i="7"/>
  <c r="X36" i="3"/>
  <c r="B23" i="26"/>
  <c r="AF21" i="4"/>
  <c r="X21" i="3"/>
  <c r="B13" i="26"/>
  <c r="AF11" i="4"/>
  <c r="AH11" i="4" s="1"/>
  <c r="X11" i="3"/>
  <c r="AC31" i="4"/>
  <c r="AE31" i="4" s="1"/>
  <c r="V31" i="3"/>
  <c r="F35" i="4"/>
  <c r="F9" i="8" s="1"/>
  <c r="G35" i="3"/>
  <c r="AG21" i="4"/>
  <c r="AG8" i="48" s="1"/>
  <c r="Y21" i="3"/>
  <c r="B21" i="26"/>
  <c r="X19" i="3"/>
  <c r="B10" i="26"/>
  <c r="AF8" i="4"/>
  <c r="AH8" i="4" s="1"/>
  <c r="X8" i="3"/>
  <c r="B36" i="25"/>
  <c r="AC36" i="49" s="1"/>
  <c r="AC29" i="4"/>
  <c r="AE29" i="4" s="1"/>
  <c r="V29" i="3"/>
  <c r="AH10" i="3" l="1"/>
  <c r="AV9" i="49"/>
  <c r="C29" i="43"/>
  <c r="AU20" i="49"/>
  <c r="AW20" i="49" s="1"/>
  <c r="AH18" i="3"/>
  <c r="AU18" i="4"/>
  <c r="AW18" i="4" s="1"/>
  <c r="AU26" i="49"/>
  <c r="AW26" i="49" s="1"/>
  <c r="AH24" i="3"/>
  <c r="AU24" i="4"/>
  <c r="AW24" i="4" s="1"/>
  <c r="AF29" i="4"/>
  <c r="AH29" i="4" s="1"/>
  <c r="X29" i="3"/>
  <c r="AF31" i="49"/>
  <c r="AH31" i="49" s="1"/>
  <c r="AU31" i="49"/>
  <c r="AW31" i="49" s="1"/>
  <c r="AW36" i="49" s="1"/>
  <c r="AU29" i="4"/>
  <c r="AW29" i="4" s="1"/>
  <c r="AH29" i="3"/>
  <c r="X16" i="3"/>
  <c r="AF16" i="4"/>
  <c r="AH16" i="4" s="1"/>
  <c r="B18" i="26"/>
  <c r="AF18" i="49"/>
  <c r="AH18" i="49" s="1"/>
  <c r="H25" i="3"/>
  <c r="H25" i="4"/>
  <c r="J25" i="4" s="1"/>
  <c r="H27" i="49"/>
  <c r="J27" i="49" s="1"/>
  <c r="J29" i="49" s="1"/>
  <c r="AV31" i="49"/>
  <c r="AI29" i="3"/>
  <c r="AU37" i="49"/>
  <c r="AW37" i="49" s="1"/>
  <c r="AU35" i="4"/>
  <c r="B19" i="26"/>
  <c r="X17" i="3"/>
  <c r="AF19" i="49"/>
  <c r="AH19" i="49" s="1"/>
  <c r="AF17" i="4"/>
  <c r="AH17" i="4" s="1"/>
  <c r="AG29" i="4"/>
  <c r="AY29" i="4" s="1"/>
  <c r="AG31" i="49"/>
  <c r="Y29" i="3"/>
  <c r="R16" i="4"/>
  <c r="R18" i="49"/>
  <c r="O16" i="3"/>
  <c r="O29" i="3"/>
  <c r="R29" i="4"/>
  <c r="R31" i="49"/>
  <c r="AY31" i="49" s="1"/>
  <c r="C25" i="4"/>
  <c r="E25" i="3"/>
  <c r="C27" i="49"/>
  <c r="B16" i="4"/>
  <c r="D16" i="4" s="1"/>
  <c r="D16" i="3"/>
  <c r="B18" i="49"/>
  <c r="D18" i="49" s="1"/>
  <c r="AV20" i="49"/>
  <c r="AY20" i="49" s="1"/>
  <c r="AI18" i="3"/>
  <c r="AV18" i="4"/>
  <c r="AU7" i="49"/>
  <c r="AW7" i="49" s="1"/>
  <c r="AW15" i="49" s="1"/>
  <c r="AH5" i="3"/>
  <c r="AU17" i="49"/>
  <c r="AW17" i="49" s="1"/>
  <c r="AU15" i="4"/>
  <c r="AW15" i="4" s="1"/>
  <c r="AH15" i="3"/>
  <c r="I11" i="4"/>
  <c r="AY11" i="4" s="1"/>
  <c r="I13" i="49"/>
  <c r="I11" i="3"/>
  <c r="E24" i="3"/>
  <c r="C26" i="49"/>
  <c r="C24" i="4"/>
  <c r="H18" i="49"/>
  <c r="J18" i="49" s="1"/>
  <c r="J24" i="49" s="1"/>
  <c r="H16" i="4"/>
  <c r="J16" i="4" s="1"/>
  <c r="H16" i="3"/>
  <c r="B16" i="3" s="1"/>
  <c r="B15" i="46"/>
  <c r="N7" i="3"/>
  <c r="Q7" i="4"/>
  <c r="S7" i="4" s="1"/>
  <c r="Q9" i="49"/>
  <c r="S9" i="49" s="1"/>
  <c r="E7" i="4"/>
  <c r="G7" i="4" s="1"/>
  <c r="E9" i="49"/>
  <c r="H11" i="4"/>
  <c r="J11" i="4" s="1"/>
  <c r="H13" i="49"/>
  <c r="J13" i="49" s="1"/>
  <c r="H5" i="4"/>
  <c r="J5" i="4" s="1"/>
  <c r="H5" i="3"/>
  <c r="H7" i="49"/>
  <c r="J7" i="49" s="1"/>
  <c r="I25" i="4"/>
  <c r="I27" i="49"/>
  <c r="I25" i="3"/>
  <c r="AU19" i="49"/>
  <c r="AW19" i="49" s="1"/>
  <c r="AH17" i="3"/>
  <c r="AU17" i="4"/>
  <c r="AW17" i="4" s="1"/>
  <c r="Y17" i="3"/>
  <c r="AG17" i="4"/>
  <c r="AG19" i="49"/>
  <c r="O7" i="3"/>
  <c r="R9" i="49"/>
  <c r="R7" i="4"/>
  <c r="B9" i="26"/>
  <c r="B15" i="26" s="1"/>
  <c r="AF9" i="49"/>
  <c r="AH9" i="49" s="1"/>
  <c r="AH15" i="49" s="1"/>
  <c r="X7" i="3"/>
  <c r="AF7" i="4"/>
  <c r="AH7" i="4" s="1"/>
  <c r="I16" i="4"/>
  <c r="I18" i="49"/>
  <c r="I16" i="3"/>
  <c r="AV17" i="49"/>
  <c r="AY17" i="49" s="1"/>
  <c r="AI15" i="3"/>
  <c r="C15" i="3" s="1"/>
  <c r="AV15" i="4"/>
  <c r="N35" i="3"/>
  <c r="Q35" i="4"/>
  <c r="Q37" i="49"/>
  <c r="S37" i="49" s="1"/>
  <c r="R32" i="4"/>
  <c r="O32" i="3"/>
  <c r="R34" i="49"/>
  <c r="I32" i="3"/>
  <c r="C32" i="3" s="1"/>
  <c r="I32" i="4"/>
  <c r="I34" i="49"/>
  <c r="I9" i="49"/>
  <c r="AY9" i="49" s="1"/>
  <c r="I7" i="4"/>
  <c r="AH24" i="49"/>
  <c r="AU27" i="49"/>
  <c r="AW27" i="49" s="1"/>
  <c r="AH25" i="3"/>
  <c r="AV27" i="49"/>
  <c r="AY27" i="49" s="1"/>
  <c r="AI25" i="3"/>
  <c r="AV25" i="4"/>
  <c r="AV12" i="4"/>
  <c r="AV7" i="48" s="1"/>
  <c r="AI12" i="3"/>
  <c r="AV14" i="49"/>
  <c r="AV34" i="49"/>
  <c r="AV32" i="4"/>
  <c r="AI32" i="3"/>
  <c r="B34" i="26"/>
  <c r="AF34" i="49"/>
  <c r="AH34" i="49" s="1"/>
  <c r="AF32" i="4"/>
  <c r="AH32" i="4" s="1"/>
  <c r="X32" i="3"/>
  <c r="Y7" i="3"/>
  <c r="AG7" i="4"/>
  <c r="Q16" i="4"/>
  <c r="S16" i="4" s="1"/>
  <c r="N16" i="3"/>
  <c r="Q18" i="49"/>
  <c r="S18" i="49" s="1"/>
  <c r="S24" i="49" s="1"/>
  <c r="B27" i="49"/>
  <c r="D27" i="49" s="1"/>
  <c r="B25" i="4"/>
  <c r="D25" i="4" s="1"/>
  <c r="D25" i="3"/>
  <c r="S15" i="49"/>
  <c r="AV19" i="49"/>
  <c r="AV17" i="4"/>
  <c r="AY17" i="4" s="1"/>
  <c r="AI17" i="3"/>
  <c r="G5" i="3"/>
  <c r="F7" i="49"/>
  <c r="F5" i="4"/>
  <c r="C19" i="49"/>
  <c r="AY19" i="49" s="1"/>
  <c r="C17" i="4"/>
  <c r="E17" i="3"/>
  <c r="I5" i="4"/>
  <c r="AY5" i="4" s="1"/>
  <c r="I5" i="3"/>
  <c r="I7" i="49"/>
  <c r="B39" i="43"/>
  <c r="C39" i="43"/>
  <c r="AX12" i="49"/>
  <c r="AX34" i="49"/>
  <c r="AH13" i="3"/>
  <c r="AU13" i="4"/>
  <c r="AU5" i="8" s="1"/>
  <c r="AY18" i="49"/>
  <c r="AV13" i="4"/>
  <c r="AV5" i="8" s="1"/>
  <c r="AI13" i="3"/>
  <c r="AE35" i="4"/>
  <c r="AE9" i="8" s="1"/>
  <c r="AG27" i="4"/>
  <c r="AG7" i="8" s="1"/>
  <c r="AC7" i="48"/>
  <c r="AH25" i="4"/>
  <c r="AH27" i="4" s="1"/>
  <c r="AF27" i="4"/>
  <c r="AF7" i="8" s="1"/>
  <c r="AG22" i="4"/>
  <c r="AG6" i="8" s="1"/>
  <c r="AH15" i="4"/>
  <c r="AF22" i="4"/>
  <c r="AF6" i="8" s="1"/>
  <c r="AW13" i="4"/>
  <c r="AW5" i="8" s="1"/>
  <c r="AY34" i="49"/>
  <c r="AX14" i="49"/>
  <c r="P38" i="49"/>
  <c r="AX18" i="49"/>
  <c r="AX33" i="49"/>
  <c r="AY22" i="49"/>
  <c r="AY35" i="49"/>
  <c r="AY12" i="49"/>
  <c r="E27" i="3"/>
  <c r="AX37" i="49"/>
  <c r="AY32" i="49"/>
  <c r="C27" i="4"/>
  <c r="C7" i="8" s="1"/>
  <c r="AQ38" i="49"/>
  <c r="AU38" i="49"/>
  <c r="AX27" i="49"/>
  <c r="AB38" i="49"/>
  <c r="AK38" i="49"/>
  <c r="AY10" i="49"/>
  <c r="AV38" i="49"/>
  <c r="AY37" i="49"/>
  <c r="M38" i="49"/>
  <c r="AY14" i="49"/>
  <c r="AY33" i="49"/>
  <c r="AY26" i="49"/>
  <c r="O22" i="4"/>
  <c r="O6" i="8" s="1"/>
  <c r="O24" i="49"/>
  <c r="L22" i="3"/>
  <c r="N24" i="49"/>
  <c r="Z22" i="3"/>
  <c r="AI24" i="49"/>
  <c r="AD27" i="3"/>
  <c r="AO29" i="49"/>
  <c r="AJ22" i="4"/>
  <c r="AJ6" i="8" s="1"/>
  <c r="AJ24" i="49"/>
  <c r="R13" i="4"/>
  <c r="R5" i="8" s="1"/>
  <c r="R15" i="49"/>
  <c r="I34" i="3"/>
  <c r="I36" i="49"/>
  <c r="O34" i="4"/>
  <c r="O11" i="48" s="1"/>
  <c r="O12" i="48" s="1"/>
  <c r="O36" i="49"/>
  <c r="K13" i="4"/>
  <c r="K5" i="8" s="1"/>
  <c r="K15" i="49"/>
  <c r="T34" i="3"/>
  <c r="Z36" i="49"/>
  <c r="AG22" i="3"/>
  <c r="AS24" i="49"/>
  <c r="X27" i="4"/>
  <c r="X7" i="8" s="1"/>
  <c r="X29" i="49"/>
  <c r="K13" i="3"/>
  <c r="L15" i="49"/>
  <c r="R27" i="4"/>
  <c r="R7" i="8" s="1"/>
  <c r="R29" i="49"/>
  <c r="C22" i="4"/>
  <c r="C6" i="8" s="1"/>
  <c r="C24" i="49"/>
  <c r="L27" i="4"/>
  <c r="L7" i="8" s="1"/>
  <c r="L29" i="49"/>
  <c r="AF29" i="49"/>
  <c r="W8" i="48"/>
  <c r="D26" i="49"/>
  <c r="D29" i="49" s="1"/>
  <c r="AX20" i="49"/>
  <c r="AT38" i="49"/>
  <c r="AX17" i="49"/>
  <c r="D17" i="49"/>
  <c r="D24" i="49" s="1"/>
  <c r="X13" i="3"/>
  <c r="AF15" i="49"/>
  <c r="N13" i="4"/>
  <c r="N5" i="8" s="1"/>
  <c r="N15" i="49"/>
  <c r="AD22" i="4"/>
  <c r="AD6" i="8" s="1"/>
  <c r="AD24" i="49"/>
  <c r="Q22" i="3"/>
  <c r="U24" i="49"/>
  <c r="AD34" i="4"/>
  <c r="AD11" i="48" s="1"/>
  <c r="AD12" i="48" s="1"/>
  <c r="AD36" i="49"/>
  <c r="AL34" i="4"/>
  <c r="AL11" i="48" s="1"/>
  <c r="AL36" i="49"/>
  <c r="E13" i="3"/>
  <c r="C15" i="49"/>
  <c r="R34" i="4"/>
  <c r="R11" i="48" s="1"/>
  <c r="R12" i="48" s="1"/>
  <c r="R36" i="49"/>
  <c r="I13" i="4"/>
  <c r="I5" i="8" s="1"/>
  <c r="I15" i="49"/>
  <c r="T22" i="3"/>
  <c r="Z24" i="49"/>
  <c r="M13" i="3"/>
  <c r="O15" i="49"/>
  <c r="AI13" i="4"/>
  <c r="AI5" i="8" s="1"/>
  <c r="AI15" i="49"/>
  <c r="Z27" i="4"/>
  <c r="Z7" i="8" s="1"/>
  <c r="Z29" i="49"/>
  <c r="K27" i="4"/>
  <c r="K7" i="8" s="1"/>
  <c r="K29" i="49"/>
  <c r="F13" i="4"/>
  <c r="F5" i="8" s="1"/>
  <c r="F15" i="49"/>
  <c r="AJ13" i="4"/>
  <c r="AJ5" i="8" s="1"/>
  <c r="AJ15" i="49"/>
  <c r="AC13" i="4"/>
  <c r="AC5" i="8" s="1"/>
  <c r="AC15" i="49"/>
  <c r="D34" i="3"/>
  <c r="B36" i="49"/>
  <c r="W34" i="4"/>
  <c r="W11" i="48" s="1"/>
  <c r="W36" i="49"/>
  <c r="U34" i="3"/>
  <c r="AA36" i="49"/>
  <c r="AC22" i="4"/>
  <c r="AC6" i="8" s="1"/>
  <c r="AC24" i="49"/>
  <c r="X34" i="3"/>
  <c r="AF36" i="49"/>
  <c r="AN38" i="49"/>
  <c r="AY7" i="49"/>
  <c r="Y24" i="49"/>
  <c r="AX7" i="49"/>
  <c r="D7" i="49"/>
  <c r="D15" i="49" s="1"/>
  <c r="Y15" i="49"/>
  <c r="Y36" i="49"/>
  <c r="AE24" i="49"/>
  <c r="AE38" i="49" s="1"/>
  <c r="I22" i="3"/>
  <c r="I24" i="49"/>
  <c r="AB22" i="3"/>
  <c r="AL24" i="49"/>
  <c r="B13" i="4"/>
  <c r="B5" i="8" s="1"/>
  <c r="B15" i="49"/>
  <c r="W27" i="4"/>
  <c r="W7" i="8" s="1"/>
  <c r="W29" i="49"/>
  <c r="Q34" i="3"/>
  <c r="U36" i="49"/>
  <c r="AL13" i="4"/>
  <c r="AL5" i="8" s="1"/>
  <c r="AL15" i="49"/>
  <c r="K34" i="4"/>
  <c r="K8" i="8" s="1"/>
  <c r="K36" i="49"/>
  <c r="AG24" i="49"/>
  <c r="AI34" i="4"/>
  <c r="AI8" i="8" s="1"/>
  <c r="AI36" i="49"/>
  <c r="AF24" i="49"/>
  <c r="J22" i="3"/>
  <c r="K24" i="49"/>
  <c r="AA34" i="3"/>
  <c r="AJ36" i="49"/>
  <c r="AS27" i="4"/>
  <c r="AS7" i="8" s="1"/>
  <c r="AS29" i="49"/>
  <c r="L34" i="3"/>
  <c r="N36" i="49"/>
  <c r="U13" i="4"/>
  <c r="U5" i="8" s="1"/>
  <c r="U15" i="49"/>
  <c r="AP27" i="4"/>
  <c r="AP7" i="8" s="1"/>
  <c r="AP29" i="49"/>
  <c r="AP38" i="49" s="1"/>
  <c r="AG34" i="4"/>
  <c r="AG11" i="48" s="1"/>
  <c r="AG12" i="48" s="1"/>
  <c r="AG36" i="49"/>
  <c r="AM34" i="4"/>
  <c r="AM11" i="48" s="1"/>
  <c r="AM12" i="48" s="1"/>
  <c r="AM36" i="49"/>
  <c r="U27" i="4"/>
  <c r="U7" i="8" s="1"/>
  <c r="U29" i="49"/>
  <c r="AG13" i="3"/>
  <c r="AS15" i="49"/>
  <c r="H13" i="4"/>
  <c r="H5" i="8" s="1"/>
  <c r="H15" i="49"/>
  <c r="D27" i="3"/>
  <c r="B29" i="49"/>
  <c r="V38" i="49"/>
  <c r="AY13" i="49"/>
  <c r="AX23" i="49"/>
  <c r="H27" i="4"/>
  <c r="H7" i="8" s="1"/>
  <c r="H29" i="49"/>
  <c r="S13" i="3"/>
  <c r="X15" i="49"/>
  <c r="Y13" i="3"/>
  <c r="AG15" i="49"/>
  <c r="D22" i="3"/>
  <c r="B24" i="49"/>
  <c r="AC13" i="3"/>
  <c r="AM15" i="49"/>
  <c r="U13" i="3"/>
  <c r="AA15" i="49"/>
  <c r="AO34" i="4"/>
  <c r="AO11" i="48" s="1"/>
  <c r="AO36" i="49"/>
  <c r="P27" i="3"/>
  <c r="T29" i="49"/>
  <c r="T38" i="49" s="1"/>
  <c r="AR27" i="4"/>
  <c r="AR7" i="8" s="1"/>
  <c r="AR29" i="49"/>
  <c r="AR38" i="49" s="1"/>
  <c r="Q13" i="4"/>
  <c r="Q5" i="8" s="1"/>
  <c r="Q15" i="49"/>
  <c r="Q38" i="49" s="1"/>
  <c r="W27" i="3"/>
  <c r="AD29" i="49"/>
  <c r="F27" i="3"/>
  <c r="E29" i="49"/>
  <c r="E38" i="49" s="1"/>
  <c r="E34" i="3"/>
  <c r="C36" i="49"/>
  <c r="AS34" i="4"/>
  <c r="AS8" i="8" s="1"/>
  <c r="AS36" i="49"/>
  <c r="G27" i="3"/>
  <c r="F29" i="49"/>
  <c r="AM27" i="4"/>
  <c r="AM7" i="8" s="1"/>
  <c r="AM29" i="49"/>
  <c r="D31" i="49"/>
  <c r="D36" i="49" s="1"/>
  <c r="AX31" i="49"/>
  <c r="AX19" i="49"/>
  <c r="S38" i="49"/>
  <c r="AX32" i="49"/>
  <c r="M21" i="4"/>
  <c r="M8" i="48" s="1"/>
  <c r="K8" i="48"/>
  <c r="AN26" i="4"/>
  <c r="AN9" i="48" s="1"/>
  <c r="AL9" i="48"/>
  <c r="AB26" i="4"/>
  <c r="AB9" i="48" s="1"/>
  <c r="Z9" i="48"/>
  <c r="G33" i="4"/>
  <c r="G10" i="48" s="1"/>
  <c r="E10" i="48"/>
  <c r="J33" i="4"/>
  <c r="J10" i="48" s="1"/>
  <c r="H10" i="48"/>
  <c r="AK12" i="4"/>
  <c r="AK7" i="48" s="1"/>
  <c r="AI7" i="48"/>
  <c r="AQ33" i="4"/>
  <c r="AQ10" i="48" s="1"/>
  <c r="AO10" i="48"/>
  <c r="AE26" i="4"/>
  <c r="AE9" i="48" s="1"/>
  <c r="AC9" i="48"/>
  <c r="AE33" i="4"/>
  <c r="AE10" i="48" s="1"/>
  <c r="AC10" i="48"/>
  <c r="AT26" i="4"/>
  <c r="AT9" i="48" s="1"/>
  <c r="AR9" i="48"/>
  <c r="P26" i="4"/>
  <c r="P9" i="48" s="1"/>
  <c r="N9" i="48"/>
  <c r="AK33" i="4"/>
  <c r="AK10" i="48" s="1"/>
  <c r="AI10" i="48"/>
  <c r="AW21" i="4"/>
  <c r="AW8" i="48" s="1"/>
  <c r="AU8" i="48"/>
  <c r="P21" i="4"/>
  <c r="P8" i="48" s="1"/>
  <c r="N8" i="48"/>
  <c r="AK26" i="4"/>
  <c r="AK9" i="48" s="1"/>
  <c r="AI9" i="48"/>
  <c r="AH33" i="4"/>
  <c r="AH10" i="48" s="1"/>
  <c r="AF10" i="48"/>
  <c r="AE21" i="4"/>
  <c r="AE8" i="48" s="1"/>
  <c r="AC8" i="48"/>
  <c r="AN21" i="4"/>
  <c r="AN8" i="48" s="1"/>
  <c r="AL8" i="48"/>
  <c r="AQ26" i="4"/>
  <c r="AQ9" i="48" s="1"/>
  <c r="AO9" i="48"/>
  <c r="AB12" i="4"/>
  <c r="AB7" i="48" s="1"/>
  <c r="Z7" i="48"/>
  <c r="M26" i="4"/>
  <c r="M9" i="48" s="1"/>
  <c r="K9" i="48"/>
  <c r="AH12" i="4"/>
  <c r="AH7" i="48" s="1"/>
  <c r="AF7" i="48"/>
  <c r="P12" i="4"/>
  <c r="P7" i="48" s="1"/>
  <c r="N7" i="48"/>
  <c r="AK21" i="4"/>
  <c r="AK8" i="48" s="1"/>
  <c r="AI8" i="48"/>
  <c r="Y12" i="4"/>
  <c r="Y7" i="48" s="1"/>
  <c r="W7" i="48"/>
  <c r="S26" i="4"/>
  <c r="S9" i="48" s="1"/>
  <c r="Q9" i="48"/>
  <c r="Y26" i="4"/>
  <c r="Y9" i="48" s="1"/>
  <c r="W9" i="48"/>
  <c r="AT33" i="4"/>
  <c r="AT10" i="48" s="1"/>
  <c r="AR10" i="48"/>
  <c r="V33" i="4"/>
  <c r="V10" i="48" s="1"/>
  <c r="T10" i="48"/>
  <c r="AB33" i="4"/>
  <c r="AB10" i="48" s="1"/>
  <c r="Z10" i="48"/>
  <c r="G26" i="4"/>
  <c r="G9" i="48" s="1"/>
  <c r="E9" i="48"/>
  <c r="Y33" i="4"/>
  <c r="Y10" i="48" s="1"/>
  <c r="W10" i="48"/>
  <c r="S12" i="4"/>
  <c r="S7" i="48" s="1"/>
  <c r="Q7" i="48"/>
  <c r="AQ12" i="4"/>
  <c r="AQ7" i="48" s="1"/>
  <c r="AO7" i="48"/>
  <c r="V26" i="4"/>
  <c r="V9" i="48" s="1"/>
  <c r="T9" i="48"/>
  <c r="S33" i="4"/>
  <c r="S10" i="48" s="1"/>
  <c r="Q10" i="48"/>
  <c r="AH26" i="4"/>
  <c r="AH9" i="48" s="1"/>
  <c r="AF9" i="48"/>
  <c r="AH21" i="4"/>
  <c r="AH8" i="48" s="1"/>
  <c r="AF8" i="48"/>
  <c r="V12" i="4"/>
  <c r="V7" i="48" s="1"/>
  <c r="T7" i="48"/>
  <c r="AN33" i="4"/>
  <c r="AN10" i="48" s="1"/>
  <c r="AL10" i="48"/>
  <c r="AW26" i="4"/>
  <c r="AU9" i="48"/>
  <c r="AN12" i="4"/>
  <c r="AN7" i="48" s="1"/>
  <c r="AL7" i="48"/>
  <c r="J12" i="4"/>
  <c r="J7" i="48" s="1"/>
  <c r="H7" i="48"/>
  <c r="M33" i="4"/>
  <c r="M10" i="48" s="1"/>
  <c r="K10" i="48"/>
  <c r="J26" i="4"/>
  <c r="J9" i="48" s="1"/>
  <c r="H9" i="48"/>
  <c r="S21" i="4"/>
  <c r="S8" i="48" s="1"/>
  <c r="Q8" i="48"/>
  <c r="AT12" i="4"/>
  <c r="AT7" i="48" s="1"/>
  <c r="AR7" i="48"/>
  <c r="G21" i="4"/>
  <c r="G8" i="48" s="1"/>
  <c r="E8" i="48"/>
  <c r="AT21" i="4"/>
  <c r="AT8" i="48" s="1"/>
  <c r="AR8" i="48"/>
  <c r="V21" i="4"/>
  <c r="V8" i="48" s="1"/>
  <c r="T8" i="48"/>
  <c r="AB21" i="4"/>
  <c r="AB8" i="48" s="1"/>
  <c r="Z8" i="48"/>
  <c r="J21" i="4"/>
  <c r="J8" i="48" s="1"/>
  <c r="H8" i="48"/>
  <c r="M12" i="4"/>
  <c r="M7" i="48" s="1"/>
  <c r="K7" i="48"/>
  <c r="G12" i="4"/>
  <c r="G7" i="48" s="1"/>
  <c r="E7" i="48"/>
  <c r="AQ21" i="4"/>
  <c r="AQ8" i="48" s="1"/>
  <c r="AO8" i="48"/>
  <c r="P33" i="4"/>
  <c r="P10" i="48" s="1"/>
  <c r="N10" i="48"/>
  <c r="AY30" i="4"/>
  <c r="D32" i="4"/>
  <c r="AX32" i="4"/>
  <c r="AY25" i="4"/>
  <c r="AY32" i="4"/>
  <c r="D31" i="4"/>
  <c r="AX31" i="4"/>
  <c r="AX33" i="4"/>
  <c r="AY33" i="4"/>
  <c r="D30" i="4"/>
  <c r="AX30" i="4"/>
  <c r="AY31" i="4"/>
  <c r="AY26" i="4"/>
  <c r="AX29" i="4"/>
  <c r="AY24" i="4"/>
  <c r="AX25" i="4"/>
  <c r="D26" i="4"/>
  <c r="AX26" i="4"/>
  <c r="AX24" i="4"/>
  <c r="AY18" i="4"/>
  <c r="AY20" i="4"/>
  <c r="D19" i="4"/>
  <c r="AX19" i="4"/>
  <c r="D20" i="4"/>
  <c r="AX20" i="4"/>
  <c r="G16" i="4"/>
  <c r="AX16" i="4"/>
  <c r="D18" i="4"/>
  <c r="AX18" i="4"/>
  <c r="G17" i="4"/>
  <c r="AX17" i="4"/>
  <c r="D21" i="4"/>
  <c r="D8" i="48" s="1"/>
  <c r="AX21" i="4"/>
  <c r="AY16" i="4"/>
  <c r="AY21" i="4"/>
  <c r="AY19" i="4"/>
  <c r="AY15" i="4"/>
  <c r="D15" i="4"/>
  <c r="AX15" i="4"/>
  <c r="D11" i="4"/>
  <c r="AX11" i="4"/>
  <c r="AY7" i="4"/>
  <c r="D8" i="4"/>
  <c r="AX8" i="4"/>
  <c r="D7" i="4"/>
  <c r="AX7" i="4"/>
  <c r="AY8" i="4"/>
  <c r="D10" i="4"/>
  <c r="AX10" i="4"/>
  <c r="AY10" i="4"/>
  <c r="AY12" i="4"/>
  <c r="D12" i="4"/>
  <c r="D7" i="48" s="1"/>
  <c r="AX12" i="4"/>
  <c r="D5" i="4"/>
  <c r="AX5" i="4"/>
  <c r="B27" i="4"/>
  <c r="B7" i="8" s="1"/>
  <c r="C9" i="8"/>
  <c r="AY9" i="8" s="1"/>
  <c r="AY35" i="4"/>
  <c r="AX35" i="4"/>
  <c r="AH27" i="3"/>
  <c r="AU27" i="4"/>
  <c r="AU7" i="8" s="1"/>
  <c r="AV34" i="4"/>
  <c r="AI34" i="3"/>
  <c r="AU22" i="4"/>
  <c r="AU6" i="8" s="1"/>
  <c r="AH34" i="3"/>
  <c r="AC27" i="3"/>
  <c r="K40" i="7"/>
  <c r="AX18" i="8"/>
  <c r="F27" i="4"/>
  <c r="F7" i="8" s="1"/>
  <c r="X27" i="3"/>
  <c r="Q27" i="3"/>
  <c r="N34" i="4"/>
  <c r="Y34" i="3"/>
  <c r="Q13" i="3"/>
  <c r="K27" i="3"/>
  <c r="K22" i="4"/>
  <c r="K6" i="8" s="1"/>
  <c r="AE27" i="3"/>
  <c r="AJ34" i="4"/>
  <c r="AU34" i="4"/>
  <c r="E22" i="3"/>
  <c r="B39" i="46"/>
  <c r="Z34" i="4"/>
  <c r="AC34" i="3"/>
  <c r="C34" i="4"/>
  <c r="AA34" i="4"/>
  <c r="R34" i="3"/>
  <c r="AG34" i="3"/>
  <c r="D13" i="3"/>
  <c r="I34" i="4"/>
  <c r="AA13" i="3"/>
  <c r="O13" i="3"/>
  <c r="AA13" i="4"/>
  <c r="AA5" i="8" s="1"/>
  <c r="B39" i="38"/>
  <c r="E27" i="4"/>
  <c r="E7" i="8" s="1"/>
  <c r="T27" i="3"/>
  <c r="V22" i="3"/>
  <c r="C39" i="16"/>
  <c r="AS13" i="4"/>
  <c r="AS5" i="8" s="1"/>
  <c r="O27" i="3"/>
  <c r="B39" i="16"/>
  <c r="AS22" i="4"/>
  <c r="AS6" i="8" s="1"/>
  <c r="C39" i="44"/>
  <c r="H13" i="3"/>
  <c r="L13" i="4"/>
  <c r="L5" i="8" s="1"/>
  <c r="S27" i="3"/>
  <c r="U22" i="4"/>
  <c r="U6" i="8" s="1"/>
  <c r="N13" i="3"/>
  <c r="AF27" i="3"/>
  <c r="C39" i="32"/>
  <c r="AD27" i="4"/>
  <c r="AD7" i="8" s="1"/>
  <c r="AM13" i="4"/>
  <c r="AM5" i="8" s="1"/>
  <c r="AD34" i="3"/>
  <c r="Z13" i="3"/>
  <c r="AG13" i="4"/>
  <c r="AG5" i="8" s="1"/>
  <c r="T27" i="4"/>
  <c r="T7" i="8" s="1"/>
  <c r="AF34" i="4"/>
  <c r="AI22" i="4"/>
  <c r="AI6" i="8" s="1"/>
  <c r="AO27" i="4"/>
  <c r="AO7" i="8" s="1"/>
  <c r="G13" i="3"/>
  <c r="J27" i="3"/>
  <c r="C39" i="41"/>
  <c r="C13" i="4"/>
  <c r="C5" i="8" s="1"/>
  <c r="H27" i="3"/>
  <c r="AA22" i="3"/>
  <c r="O13" i="4"/>
  <c r="O5" i="8" s="1"/>
  <c r="I22" i="4"/>
  <c r="I6" i="8" s="1"/>
  <c r="Z22" i="4"/>
  <c r="Z6" i="8" s="1"/>
  <c r="X13" i="4"/>
  <c r="X5" i="8" s="1"/>
  <c r="B39" i="15"/>
  <c r="C39" i="31"/>
  <c r="C39" i="40"/>
  <c r="J13" i="3"/>
  <c r="B34" i="4"/>
  <c r="V13" i="3"/>
  <c r="B39" i="39"/>
  <c r="B39" i="25"/>
  <c r="B24" i="26"/>
  <c r="AB34" i="3"/>
  <c r="C39" i="46"/>
  <c r="C39" i="15"/>
  <c r="C39" i="25"/>
  <c r="AI22" i="3"/>
  <c r="W13" i="3"/>
  <c r="B33" i="3"/>
  <c r="B39" i="35"/>
  <c r="Y22" i="4"/>
  <c r="Y6" i="8" s="1"/>
  <c r="AG27" i="3"/>
  <c r="R27" i="3"/>
  <c r="AV22" i="4"/>
  <c r="AV6" i="8" s="1"/>
  <c r="AD13" i="4"/>
  <c r="AD5" i="8" s="1"/>
  <c r="L13" i="3"/>
  <c r="W34" i="3"/>
  <c r="B39" i="37"/>
  <c r="C39" i="30"/>
  <c r="B25" i="3"/>
  <c r="C39" i="22"/>
  <c r="B39" i="40"/>
  <c r="B39" i="30"/>
  <c r="B36" i="26"/>
  <c r="Z34" i="3"/>
  <c r="B39" i="36"/>
  <c r="I13" i="3"/>
  <c r="Y22" i="3"/>
  <c r="U34" i="4"/>
  <c r="D39" i="26"/>
  <c r="O34" i="3"/>
  <c r="X22" i="3"/>
  <c r="M22" i="3"/>
  <c r="B39" i="45"/>
  <c r="B21" i="3"/>
  <c r="C8" i="3"/>
  <c r="C39" i="37"/>
  <c r="C30" i="3"/>
  <c r="C35" i="3"/>
  <c r="B39" i="41"/>
  <c r="C5" i="3"/>
  <c r="AI9" i="8"/>
  <c r="AK35" i="4"/>
  <c r="AK9" i="8" s="1"/>
  <c r="C39" i="35"/>
  <c r="AW34" i="4"/>
  <c r="C39" i="20"/>
  <c r="C39" i="19"/>
  <c r="C39" i="24"/>
  <c r="AV27" i="4"/>
  <c r="AV7" i="8" s="1"/>
  <c r="AI27" i="3"/>
  <c r="B39" i="28"/>
  <c r="B19" i="3"/>
  <c r="C21" i="3"/>
  <c r="J34" i="3"/>
  <c r="B39" i="19"/>
  <c r="AF13" i="4"/>
  <c r="C18" i="3"/>
  <c r="B39" i="14"/>
  <c r="M34" i="3"/>
  <c r="B39" i="44"/>
  <c r="B35" i="3"/>
  <c r="B22" i="4"/>
  <c r="B6" i="8" s="1"/>
  <c r="N22" i="4"/>
  <c r="N6" i="8" s="1"/>
  <c r="C39" i="26"/>
  <c r="C24" i="3"/>
  <c r="C39" i="42"/>
  <c r="AF9" i="8"/>
  <c r="AH35" i="4"/>
  <c r="AH9" i="8" s="1"/>
  <c r="C39" i="45"/>
  <c r="AB13" i="3"/>
  <c r="C39" i="38"/>
  <c r="C39" i="27"/>
  <c r="AE13" i="4"/>
  <c r="AE5" i="8" s="1"/>
  <c r="B39" i="32"/>
  <c r="C39" i="36"/>
  <c r="B29" i="26"/>
  <c r="B18" i="3"/>
  <c r="B7" i="3"/>
  <c r="C16" i="3"/>
  <c r="K9" i="8"/>
  <c r="M35" i="4"/>
  <c r="M9" i="8" s="1"/>
  <c r="E9" i="8"/>
  <c r="G35" i="4"/>
  <c r="G9" i="8" s="1"/>
  <c r="AI27" i="4"/>
  <c r="AI7" i="8" s="1"/>
  <c r="Z27" i="3"/>
  <c r="Q27" i="4"/>
  <c r="Q7" i="8" s="1"/>
  <c r="N27" i="3"/>
  <c r="X22" i="4"/>
  <c r="X6" i="8" s="1"/>
  <c r="S22" i="3"/>
  <c r="B8" i="3"/>
  <c r="B39" i="34"/>
  <c r="C39" i="34"/>
  <c r="C39" i="14"/>
  <c r="B39" i="21"/>
  <c r="B11" i="3"/>
  <c r="B39" i="31"/>
  <c r="U22" i="3"/>
  <c r="C36" i="3"/>
  <c r="AL22" i="4"/>
  <c r="AL6" i="8" s="1"/>
  <c r="W22" i="4"/>
  <c r="W6" i="8" s="1"/>
  <c r="R22" i="3"/>
  <c r="C11" i="3"/>
  <c r="H22" i="4"/>
  <c r="H6" i="8" s="1"/>
  <c r="H22" i="3"/>
  <c r="N27" i="4"/>
  <c r="N7" i="8" s="1"/>
  <c r="L27" i="3"/>
  <c r="C7" i="3"/>
  <c r="L22" i="4"/>
  <c r="L6" i="8" s="1"/>
  <c r="K22" i="3"/>
  <c r="C31" i="3"/>
  <c r="B20" i="3"/>
  <c r="B5" i="3"/>
  <c r="AF22" i="3"/>
  <c r="AR22" i="4"/>
  <c r="AR6" i="8" s="1"/>
  <c r="H34" i="4"/>
  <c r="H34" i="3"/>
  <c r="B12" i="3"/>
  <c r="C17" i="3"/>
  <c r="F34" i="4"/>
  <c r="G34" i="3"/>
  <c r="T34" i="4"/>
  <c r="P34" i="3"/>
  <c r="C10" i="3"/>
  <c r="T9" i="8"/>
  <c r="V35" i="4"/>
  <c r="V9" i="8" s="1"/>
  <c r="AR34" i="4"/>
  <c r="AF34" i="3"/>
  <c r="AO9" i="8"/>
  <c r="AQ35" i="4"/>
  <c r="AQ9" i="8" s="1"/>
  <c r="W9" i="8"/>
  <c r="Y35" i="4"/>
  <c r="Y9" i="8" s="1"/>
  <c r="E22" i="4"/>
  <c r="E6" i="8" s="1"/>
  <c r="F22" i="3"/>
  <c r="I27" i="4"/>
  <c r="I7" i="8" s="1"/>
  <c r="I27" i="3"/>
  <c r="B29" i="3"/>
  <c r="B39" i="20"/>
  <c r="AA22" i="4"/>
  <c r="AA6" i="8" s="1"/>
  <c r="W22" i="3"/>
  <c r="AH22" i="3"/>
  <c r="B39" i="33"/>
  <c r="B39" i="42"/>
  <c r="C33" i="3"/>
  <c r="B17" i="3"/>
  <c r="E34" i="4"/>
  <c r="F34" i="3"/>
  <c r="H9" i="8"/>
  <c r="J35" i="4"/>
  <c r="J9" i="8" s="1"/>
  <c r="AL27" i="4"/>
  <c r="AL7" i="8" s="1"/>
  <c r="AB27" i="3"/>
  <c r="G22" i="3"/>
  <c r="F22" i="4"/>
  <c r="F6" i="8" s="1"/>
  <c r="C20" i="3"/>
  <c r="C12" i="3"/>
  <c r="B15" i="3"/>
  <c r="Y27" i="3"/>
  <c r="AM22" i="4"/>
  <c r="AM6" i="8" s="1"/>
  <c r="AC22" i="3"/>
  <c r="B32" i="3"/>
  <c r="O27" i="4"/>
  <c r="O7" i="8" s="1"/>
  <c r="M27" i="3"/>
  <c r="C39" i="17"/>
  <c r="W13" i="4"/>
  <c r="R13" i="3"/>
  <c r="B39" i="23"/>
  <c r="T22" i="4"/>
  <c r="T6" i="8" s="1"/>
  <c r="P22" i="3"/>
  <c r="AJ27" i="4"/>
  <c r="AJ7" i="8" s="1"/>
  <c r="AA27" i="3"/>
  <c r="AP34" i="4"/>
  <c r="AE34" i="3"/>
  <c r="T13" i="4"/>
  <c r="P13" i="3"/>
  <c r="B39" i="22"/>
  <c r="C39" i="33"/>
  <c r="AL9" i="8"/>
  <c r="AN35" i="4"/>
  <c r="AN9" i="8" s="1"/>
  <c r="AC27" i="4"/>
  <c r="AC7" i="8" s="1"/>
  <c r="V27" i="3"/>
  <c r="C26" i="3"/>
  <c r="E13" i="4"/>
  <c r="F13" i="3"/>
  <c r="B39" i="17"/>
  <c r="L34" i="4"/>
  <c r="K34" i="3"/>
  <c r="C39" i="18"/>
  <c r="B31" i="3"/>
  <c r="B36" i="3"/>
  <c r="C39" i="39"/>
  <c r="B39" i="27"/>
  <c r="C19" i="3"/>
  <c r="AD13" i="3"/>
  <c r="AO13" i="4"/>
  <c r="B39" i="29"/>
  <c r="N9" i="8"/>
  <c r="P35" i="4"/>
  <c r="P9" i="8" s="1"/>
  <c r="AR13" i="4"/>
  <c r="AF13" i="3"/>
  <c r="C25" i="3"/>
  <c r="B9" i="8"/>
  <c r="D35" i="4"/>
  <c r="D9" i="8" s="1"/>
  <c r="Q22" i="4"/>
  <c r="Q6" i="8" s="1"/>
  <c r="N22" i="3"/>
  <c r="B26" i="3"/>
  <c r="B30" i="3"/>
  <c r="R22" i="4"/>
  <c r="R6" i="8" s="1"/>
  <c r="O22" i="3"/>
  <c r="C39" i="21"/>
  <c r="AO22" i="4"/>
  <c r="AO6" i="8" s="1"/>
  <c r="AD22" i="3"/>
  <c r="B24" i="3"/>
  <c r="AP22" i="4"/>
  <c r="AP6" i="8" s="1"/>
  <c r="AE22" i="3"/>
  <c r="B10" i="3"/>
  <c r="C29" i="3"/>
  <c r="C39" i="28"/>
  <c r="B39" i="18"/>
  <c r="Q34" i="4"/>
  <c r="N34" i="3"/>
  <c r="X34" i="4"/>
  <c r="S34" i="3"/>
  <c r="AP13" i="4"/>
  <c r="AP5" i="8" s="1"/>
  <c r="AE13" i="3"/>
  <c r="C39" i="29"/>
  <c r="AA27" i="4"/>
  <c r="AA7" i="8" s="1"/>
  <c r="U27" i="3"/>
  <c r="Z13" i="4"/>
  <c r="T13" i="3"/>
  <c r="B39" i="24"/>
  <c r="Z9" i="8"/>
  <c r="AB35" i="4"/>
  <c r="AB9" i="8" s="1"/>
  <c r="C39" i="23"/>
  <c r="AR9" i="8"/>
  <c r="AT35" i="4"/>
  <c r="AC34" i="4"/>
  <c r="V34" i="3"/>
  <c r="AX13" i="49" l="1"/>
  <c r="J38" i="49"/>
  <c r="J15" i="49"/>
  <c r="AH38" i="49"/>
  <c r="G9" i="49"/>
  <c r="G15" i="49" s="1"/>
  <c r="G38" i="49" s="1"/>
  <c r="AX9" i="49"/>
  <c r="AW24" i="49"/>
  <c r="AW29" i="49"/>
  <c r="Q9" i="8"/>
  <c r="S35" i="4"/>
  <c r="S9" i="8" s="1"/>
  <c r="AH36" i="49"/>
  <c r="AU9" i="8"/>
  <c r="AW35" i="4"/>
  <c r="AW9" i="8" s="1"/>
  <c r="AY24" i="49"/>
  <c r="D34" i="4"/>
  <c r="AK13" i="4"/>
  <c r="AW22" i="4"/>
  <c r="AW6" i="8" s="1"/>
  <c r="V13" i="4"/>
  <c r="V5" i="8" s="1"/>
  <c r="AH13" i="4"/>
  <c r="AH5" i="8" s="1"/>
  <c r="R8" i="8"/>
  <c r="R10" i="8" s="1"/>
  <c r="D44" i="7" s="1"/>
  <c r="AB27" i="4"/>
  <c r="AB7" i="8" s="1"/>
  <c r="S34" i="4"/>
  <c r="S8" i="8" s="1"/>
  <c r="AL8" i="8"/>
  <c r="AL10" i="8" s="1"/>
  <c r="C51" i="7" s="1"/>
  <c r="AH22" i="4"/>
  <c r="AH6" i="8" s="1"/>
  <c r="J34" i="4"/>
  <c r="J8" i="8" s="1"/>
  <c r="AI11" i="48"/>
  <c r="AI12" i="48" s="1"/>
  <c r="E37" i="3"/>
  <c r="X38" i="49"/>
  <c r="AO8" i="8"/>
  <c r="K11" i="48"/>
  <c r="K12" i="48" s="1"/>
  <c r="AG8" i="8"/>
  <c r="AG10" i="8" s="1"/>
  <c r="D49" i="7" s="1"/>
  <c r="AD8" i="8"/>
  <c r="AD10" i="8" s="1"/>
  <c r="D48" i="7" s="1"/>
  <c r="AN22" i="4"/>
  <c r="AN6" i="8" s="1"/>
  <c r="AM8" i="8"/>
  <c r="AM10" i="8" s="1"/>
  <c r="D51" i="7" s="1"/>
  <c r="P13" i="4"/>
  <c r="P5" i="8" s="1"/>
  <c r="D37" i="3"/>
  <c r="AS11" i="48"/>
  <c r="AS12" i="48" s="1"/>
  <c r="W38" i="49"/>
  <c r="G13" i="4"/>
  <c r="G5" i="8" s="1"/>
  <c r="W8" i="8"/>
  <c r="O8" i="8"/>
  <c r="O10" i="8" s="1"/>
  <c r="D43" i="7" s="1"/>
  <c r="AQ22" i="4"/>
  <c r="AQ6" i="8" s="1"/>
  <c r="AY36" i="49"/>
  <c r="AX29" i="49"/>
  <c r="P27" i="4"/>
  <c r="P7" i="8" s="1"/>
  <c r="M22" i="4"/>
  <c r="M6" i="8" s="1"/>
  <c r="AH34" i="4"/>
  <c r="AH11" i="48" s="1"/>
  <c r="AH12" i="48" s="1"/>
  <c r="AA38" i="49"/>
  <c r="O38" i="49"/>
  <c r="AO38" i="49"/>
  <c r="AE34" i="4"/>
  <c r="AE11" i="48" s="1"/>
  <c r="AE12" i="48" s="1"/>
  <c r="AQ34" i="4"/>
  <c r="AQ11" i="48" s="1"/>
  <c r="AQ12" i="48" s="1"/>
  <c r="AE22" i="4"/>
  <c r="AE6" i="8" s="1"/>
  <c r="AK27" i="4"/>
  <c r="AK7" i="8" s="1"/>
  <c r="AN27" i="4"/>
  <c r="AN7" i="8" s="1"/>
  <c r="J22" i="4"/>
  <c r="J6" i="8" s="1"/>
  <c r="AT34" i="4"/>
  <c r="AT11" i="48" s="1"/>
  <c r="AT12" i="48" s="1"/>
  <c r="S27" i="4"/>
  <c r="S7" i="8" s="1"/>
  <c r="V22" i="4"/>
  <c r="V6" i="8" s="1"/>
  <c r="AB13" i="4"/>
  <c r="AB5" i="8" s="1"/>
  <c r="AX36" i="49"/>
  <c r="AD38" i="49"/>
  <c r="AM38" i="49"/>
  <c r="AG38" i="49"/>
  <c r="AY29" i="49"/>
  <c r="Z38" i="49"/>
  <c r="H38" i="49"/>
  <c r="U38" i="49"/>
  <c r="AX24" i="49"/>
  <c r="B38" i="49"/>
  <c r="AY15" i="49"/>
  <c r="AC38" i="49"/>
  <c r="F38" i="49"/>
  <c r="I38" i="49"/>
  <c r="C38" i="49"/>
  <c r="AF38" i="49"/>
  <c r="R38" i="49"/>
  <c r="AS38" i="49"/>
  <c r="D38" i="49"/>
  <c r="AL38" i="49"/>
  <c r="Y38" i="49"/>
  <c r="AX15" i="49"/>
  <c r="AJ38" i="49"/>
  <c r="AI38" i="49"/>
  <c r="N38" i="49"/>
  <c r="L38" i="49"/>
  <c r="K38" i="49"/>
  <c r="AH7" i="8"/>
  <c r="AQ13" i="4"/>
  <c r="AQ5" i="8" s="1"/>
  <c r="J13" i="4"/>
  <c r="J5" i="8" s="1"/>
  <c r="AB34" i="4"/>
  <c r="AB8" i="8" s="1"/>
  <c r="AN13" i="4"/>
  <c r="AN5" i="8" s="1"/>
  <c r="G27" i="4"/>
  <c r="G7" i="8" s="1"/>
  <c r="AE27" i="4"/>
  <c r="AE7" i="8" s="1"/>
  <c r="AQ27" i="4"/>
  <c r="AQ7" i="8" s="1"/>
  <c r="AN34" i="4"/>
  <c r="AN11" i="48" s="1"/>
  <c r="AN12" i="48" s="1"/>
  <c r="AK22" i="4"/>
  <c r="AK6" i="8" s="1"/>
  <c r="V34" i="4"/>
  <c r="V8" i="8" s="1"/>
  <c r="M34" i="4"/>
  <c r="M8" i="8" s="1"/>
  <c r="AT13" i="4"/>
  <c r="AT5" i="8" s="1"/>
  <c r="J27" i="4"/>
  <c r="J7" i="8" s="1"/>
  <c r="P22" i="4"/>
  <c r="P6" i="8" s="1"/>
  <c r="Y34" i="4"/>
  <c r="Y11" i="48" s="1"/>
  <c r="Y12" i="48" s="1"/>
  <c r="AT27" i="4"/>
  <c r="AT7" i="8" s="1"/>
  <c r="AK34" i="4"/>
  <c r="AK8" i="8" s="1"/>
  <c r="AC8" i="8"/>
  <c r="AC10" i="8" s="1"/>
  <c r="C48" i="7" s="1"/>
  <c r="AC11" i="48"/>
  <c r="AC12" i="48" s="1"/>
  <c r="Q8" i="8"/>
  <c r="Q10" i="8" s="1"/>
  <c r="C44" i="7" s="1"/>
  <c r="Q11" i="48"/>
  <c r="Q12" i="48" s="1"/>
  <c r="AP8" i="8"/>
  <c r="AP10" i="8" s="1"/>
  <c r="D52" i="7" s="1"/>
  <c r="AP11" i="48"/>
  <c r="AP12" i="48" s="1"/>
  <c r="AT22" i="4"/>
  <c r="AT6" i="8" s="1"/>
  <c r="T8" i="8"/>
  <c r="T11" i="48"/>
  <c r="T12" i="48" s="1"/>
  <c r="G22" i="4"/>
  <c r="G6" i="8" s="1"/>
  <c r="L8" i="8"/>
  <c r="L10" i="8" s="1"/>
  <c r="D42" i="7" s="1"/>
  <c r="L11" i="48"/>
  <c r="L12" i="48" s="1"/>
  <c r="M13" i="4"/>
  <c r="M5" i="8" s="1"/>
  <c r="S22" i="4"/>
  <c r="S6" i="8" s="1"/>
  <c r="V27" i="4"/>
  <c r="V7" i="8" s="1"/>
  <c r="E8" i="8"/>
  <c r="E11" i="48"/>
  <c r="E12" i="48" s="1"/>
  <c r="AB22" i="4"/>
  <c r="AB6" i="8" s="1"/>
  <c r="U8" i="8"/>
  <c r="U10" i="8" s="1"/>
  <c r="D45" i="7" s="1"/>
  <c r="U11" i="48"/>
  <c r="U12" i="48" s="1"/>
  <c r="B8" i="8"/>
  <c r="B10" i="8" s="1"/>
  <c r="C39" i="7" s="1"/>
  <c r="B11" i="48"/>
  <c r="AV8" i="8"/>
  <c r="AV10" i="8" s="1"/>
  <c r="D54" i="7" s="1"/>
  <c r="AV11" i="48"/>
  <c r="AV12" i="48" s="1"/>
  <c r="W12" i="48"/>
  <c r="X8" i="8"/>
  <c r="X10" i="8" s="1"/>
  <c r="D46" i="7" s="1"/>
  <c r="X11" i="48"/>
  <c r="X12" i="48" s="1"/>
  <c r="N8" i="8"/>
  <c r="N10" i="8" s="1"/>
  <c r="C43" i="7" s="1"/>
  <c r="N11" i="48"/>
  <c r="N12" i="48" s="1"/>
  <c r="S13" i="4"/>
  <c r="S5" i="8" s="1"/>
  <c r="P34" i="4"/>
  <c r="AR8" i="8"/>
  <c r="AR11" i="48"/>
  <c r="AR12" i="48" s="1"/>
  <c r="F8" i="8"/>
  <c r="F10" i="8" s="1"/>
  <c r="D40" i="7" s="1"/>
  <c r="F11" i="48"/>
  <c r="F12" i="48" s="1"/>
  <c r="Y13" i="4"/>
  <c r="Y5" i="8" s="1"/>
  <c r="G34" i="4"/>
  <c r="M27" i="4"/>
  <c r="M7" i="8" s="1"/>
  <c r="AW8" i="8"/>
  <c r="AW11" i="48"/>
  <c r="AF8" i="8"/>
  <c r="AF11" i="48"/>
  <c r="AF12" i="48" s="1"/>
  <c r="I8" i="8"/>
  <c r="I10" i="8" s="1"/>
  <c r="D41" i="7" s="1"/>
  <c r="I11" i="48"/>
  <c r="I12" i="48" s="1"/>
  <c r="AA8" i="8"/>
  <c r="AA10" i="8" s="1"/>
  <c r="D47" i="7" s="1"/>
  <c r="AA11" i="48"/>
  <c r="AA12" i="48" s="1"/>
  <c r="AJ8" i="8"/>
  <c r="AJ10" i="8" s="1"/>
  <c r="D50" i="7" s="1"/>
  <c r="AJ11" i="48"/>
  <c r="AJ12" i="48" s="1"/>
  <c r="D27" i="4"/>
  <c r="D7" i="8" s="1"/>
  <c r="D9" i="48"/>
  <c r="D8" i="8"/>
  <c r="D11" i="48"/>
  <c r="AW27" i="4"/>
  <c r="AW7" i="8" s="1"/>
  <c r="AW9" i="48"/>
  <c r="AO12" i="48"/>
  <c r="Z8" i="8"/>
  <c r="Z11" i="48"/>
  <c r="Z12" i="48" s="1"/>
  <c r="AU8" i="8"/>
  <c r="AU10" i="8" s="1"/>
  <c r="C54" i="7" s="1"/>
  <c r="AU11" i="48"/>
  <c r="AU12" i="48" s="1"/>
  <c r="H8" i="8"/>
  <c r="H10" i="8" s="1"/>
  <c r="C41" i="7" s="1"/>
  <c r="H11" i="48"/>
  <c r="H12" i="48" s="1"/>
  <c r="C8" i="8"/>
  <c r="C10" i="8" s="1"/>
  <c r="D39" i="7" s="1"/>
  <c r="C11" i="48"/>
  <c r="Y27" i="4"/>
  <c r="Y7" i="8" s="1"/>
  <c r="AL12" i="48"/>
  <c r="AX34" i="4"/>
  <c r="D22" i="4"/>
  <c r="D6" i="8" s="1"/>
  <c r="AY34" i="4"/>
  <c r="AY27" i="4"/>
  <c r="AX27" i="4"/>
  <c r="AY22" i="4"/>
  <c r="AX22" i="4"/>
  <c r="D13" i="4"/>
  <c r="D5" i="8" s="1"/>
  <c r="AX13" i="4"/>
  <c r="AF36" i="4"/>
  <c r="AY13" i="4"/>
  <c r="AU36" i="4"/>
  <c r="AR5" i="8"/>
  <c r="AR36" i="4"/>
  <c r="AO5" i="8"/>
  <c r="AO36" i="4"/>
  <c r="AL36" i="4"/>
  <c r="AI36" i="4"/>
  <c r="AC36" i="4"/>
  <c r="Z5" i="8"/>
  <c r="Z36" i="4"/>
  <c r="W5" i="8"/>
  <c r="W36" i="4"/>
  <c r="T5" i="8"/>
  <c r="T36" i="4"/>
  <c r="Q36" i="4"/>
  <c r="K36" i="4"/>
  <c r="N36" i="4"/>
  <c r="I36" i="4"/>
  <c r="H36" i="4"/>
  <c r="F36" i="4"/>
  <c r="E5" i="8"/>
  <c r="E36" i="4"/>
  <c r="B36" i="4"/>
  <c r="AC37" i="3"/>
  <c r="AH37" i="3"/>
  <c r="AV36" i="4"/>
  <c r="Y37" i="3"/>
  <c r="X37" i="3"/>
  <c r="AY7" i="8"/>
  <c r="AY6" i="8"/>
  <c r="AX7" i="8"/>
  <c r="AX6" i="8"/>
  <c r="AX9" i="8"/>
  <c r="AY5" i="8"/>
  <c r="Q37" i="3"/>
  <c r="AG37" i="3"/>
  <c r="AS10" i="8"/>
  <c r="D53" i="7" s="1"/>
  <c r="AS36" i="4"/>
  <c r="T37" i="3"/>
  <c r="Z37" i="3"/>
  <c r="C36" i="4"/>
  <c r="AM36" i="4"/>
  <c r="AA37" i="3"/>
  <c r="AD36" i="4"/>
  <c r="U36" i="4"/>
  <c r="O36" i="4"/>
  <c r="J37" i="3"/>
  <c r="K10" i="8"/>
  <c r="C42" i="7" s="1"/>
  <c r="G37" i="3"/>
  <c r="AI37" i="3"/>
  <c r="B39" i="26"/>
  <c r="L37" i="3"/>
  <c r="M37" i="3"/>
  <c r="S37" i="3"/>
  <c r="W37" i="3"/>
  <c r="O37" i="3"/>
  <c r="AG36" i="4"/>
  <c r="AI10" i="8"/>
  <c r="C50" i="7" s="1"/>
  <c r="C13" i="3"/>
  <c r="I37" i="3"/>
  <c r="C27" i="3"/>
  <c r="AJ36" i="4"/>
  <c r="P37" i="3"/>
  <c r="AD37" i="3"/>
  <c r="L36" i="4"/>
  <c r="AF37" i="3"/>
  <c r="B27" i="3"/>
  <c r="R36" i="4"/>
  <c r="K37" i="3"/>
  <c r="C22" i="3"/>
  <c r="V37" i="3"/>
  <c r="X36" i="4"/>
  <c r="AF5" i="8"/>
  <c r="AA36" i="4"/>
  <c r="AE37" i="3"/>
  <c r="AB37" i="3"/>
  <c r="H37" i="3"/>
  <c r="U37" i="3"/>
  <c r="B22" i="3"/>
  <c r="B13" i="3"/>
  <c r="N37" i="3"/>
  <c r="R37" i="3"/>
  <c r="C34" i="3"/>
  <c r="AP36" i="4"/>
  <c r="B34" i="3"/>
  <c r="F37" i="3"/>
  <c r="AK5" i="8"/>
  <c r="AT9" i="8"/>
  <c r="AW38" i="49" l="1"/>
  <c r="AY38" i="49"/>
  <c r="AX38" i="49"/>
  <c r="J11" i="48"/>
  <c r="J12" i="48" s="1"/>
  <c r="AE8" i="8"/>
  <c r="AE10" i="8" s="1"/>
  <c r="E48" i="7" s="1"/>
  <c r="S11" i="48"/>
  <c r="S12" i="48" s="1"/>
  <c r="AH8" i="8"/>
  <c r="AH10" i="8" s="1"/>
  <c r="E49" i="7" s="1"/>
  <c r="AO10" i="8"/>
  <c r="C52" i="7" s="1"/>
  <c r="AT8" i="8"/>
  <c r="AT10" i="8" s="1"/>
  <c r="E53" i="7" s="1"/>
  <c r="W10" i="8"/>
  <c r="C46" i="7" s="1"/>
  <c r="AQ8" i="8"/>
  <c r="AQ10" i="8" s="1"/>
  <c r="E52" i="7" s="1"/>
  <c r="P36" i="4"/>
  <c r="J36" i="4"/>
  <c r="AE36" i="4"/>
  <c r="AK10" i="8"/>
  <c r="E50" i="7" s="1"/>
  <c r="V11" i="48"/>
  <c r="V12" i="48" s="1"/>
  <c r="AB11" i="48"/>
  <c r="AB12" i="48" s="1"/>
  <c r="AW12" i="48"/>
  <c r="AR10" i="8"/>
  <c r="C53" i="7" s="1"/>
  <c r="M11" i="48"/>
  <c r="M12" i="48" s="1"/>
  <c r="AK36" i="4"/>
  <c r="T10" i="8"/>
  <c r="C45" i="7" s="1"/>
  <c r="S10" i="8"/>
  <c r="E44" i="7" s="1"/>
  <c r="G36" i="4"/>
  <c r="AF10" i="8"/>
  <c r="C49" i="7" s="1"/>
  <c r="S36" i="4"/>
  <c r="Y8" i="8"/>
  <c r="Y10" i="8" s="1"/>
  <c r="E46" i="7" s="1"/>
  <c r="AQ36" i="4"/>
  <c r="E10" i="8"/>
  <c r="C40" i="7" s="1"/>
  <c r="AK11" i="48"/>
  <c r="AK12" i="48" s="1"/>
  <c r="AB10" i="8"/>
  <c r="E47" i="7" s="1"/>
  <c r="M10" i="8"/>
  <c r="E42" i="7" s="1"/>
  <c r="AN36" i="4"/>
  <c r="M36" i="4"/>
  <c r="AN8" i="8"/>
  <c r="AN10" i="8" s="1"/>
  <c r="E51" i="7" s="1"/>
  <c r="Y36" i="4"/>
  <c r="AW36" i="4"/>
  <c r="AH36" i="4"/>
  <c r="Z10" i="8"/>
  <c r="C47" i="7" s="1"/>
  <c r="D12" i="48"/>
  <c r="V10" i="8"/>
  <c r="E45" i="7" s="1"/>
  <c r="AB36" i="4"/>
  <c r="AW10" i="8"/>
  <c r="E54" i="7" s="1"/>
  <c r="J10" i="8"/>
  <c r="E41" i="7" s="1"/>
  <c r="AX8" i="8"/>
  <c r="V36" i="4"/>
  <c r="AY8" i="8"/>
  <c r="AY10" i="8" s="1"/>
  <c r="B12" i="48"/>
  <c r="C12" i="48"/>
  <c r="G8" i="8"/>
  <c r="G10" i="8" s="1"/>
  <c r="E40" i="7" s="1"/>
  <c r="G11" i="48"/>
  <c r="G12" i="48" s="1"/>
  <c r="AT36" i="4"/>
  <c r="P8" i="8"/>
  <c r="P10" i="8" s="1"/>
  <c r="E43" i="7" s="1"/>
  <c r="P11" i="48"/>
  <c r="P12" i="48" s="1"/>
  <c r="D10" i="8"/>
  <c r="E39" i="7" s="1"/>
  <c r="AX36" i="4"/>
  <c r="AY36" i="4"/>
  <c r="D36" i="4"/>
  <c r="AX5" i="8"/>
  <c r="C37" i="3"/>
  <c r="B37" i="3"/>
  <c r="AX12" i="47"/>
  <c r="AW12" i="47"/>
  <c r="AY12" i="47" s="1"/>
  <c r="AW11" i="47"/>
  <c r="AT34" i="47"/>
  <c r="AV34" i="47" s="1"/>
  <c r="AT33" i="47"/>
  <c r="AV33" i="47" s="1"/>
  <c r="AT32" i="47"/>
  <c r="AT29" i="47"/>
  <c r="AV29" i="47" s="1"/>
  <c r="AT28" i="47"/>
  <c r="AV28" i="47" s="1"/>
  <c r="AT27" i="47"/>
  <c r="AV27" i="47" s="1"/>
  <c r="AT26" i="47"/>
  <c r="AV26" i="47" s="1"/>
  <c r="AT25" i="47"/>
  <c r="AT22" i="47"/>
  <c r="AV22" i="47" s="1"/>
  <c r="AT21" i="47"/>
  <c r="AV21" i="47" s="1"/>
  <c r="AT20" i="47"/>
  <c r="AV20" i="47" s="1"/>
  <c r="AT19" i="47"/>
  <c r="AU16" i="47"/>
  <c r="AT16" i="47"/>
  <c r="AV16" i="47" s="1"/>
  <c r="AT15" i="47"/>
  <c r="AV15" i="47" s="1"/>
  <c r="AU14" i="47"/>
  <c r="AT14" i="47"/>
  <c r="AV14" i="47" s="1"/>
  <c r="AT13" i="47"/>
  <c r="AV13" i="47" s="1"/>
  <c r="AU12" i="47"/>
  <c r="AT12" i="47"/>
  <c r="AV12" i="47" s="1"/>
  <c r="AT11" i="47"/>
  <c r="AU8" i="47"/>
  <c r="AT8" i="47"/>
  <c r="AV8" i="47" s="1"/>
  <c r="AT7" i="47"/>
  <c r="AV7" i="47" s="1"/>
  <c r="AU6" i="47"/>
  <c r="AT6" i="47"/>
  <c r="AV6" i="47" s="1"/>
  <c r="AT5" i="47"/>
  <c r="AR34" i="47"/>
  <c r="AQ34" i="47"/>
  <c r="AS34" i="47" s="1"/>
  <c r="AR33" i="47"/>
  <c r="AQ33" i="47"/>
  <c r="AS33" i="47" s="1"/>
  <c r="AR32" i="47"/>
  <c r="AQ32" i="47"/>
  <c r="AR29" i="47"/>
  <c r="AQ29" i="47"/>
  <c r="AS29" i="47" s="1"/>
  <c r="AR28" i="47"/>
  <c r="AQ28" i="47"/>
  <c r="AS28" i="47" s="1"/>
  <c r="AR27" i="47"/>
  <c r="AQ27" i="47"/>
  <c r="AS27" i="47" s="1"/>
  <c r="AR26" i="47"/>
  <c r="AQ26" i="47"/>
  <c r="AS26" i="47" s="1"/>
  <c r="AR25" i="47"/>
  <c r="AQ25" i="47"/>
  <c r="AR22" i="47"/>
  <c r="AQ22" i="47"/>
  <c r="AS22" i="47" s="1"/>
  <c r="AR21" i="47"/>
  <c r="AQ21" i="47"/>
  <c r="AS21" i="47" s="1"/>
  <c r="AR20" i="47"/>
  <c r="AQ20" i="47"/>
  <c r="AS20" i="47" s="1"/>
  <c r="AR19" i="47"/>
  <c r="AQ19" i="47"/>
  <c r="AR16" i="47"/>
  <c r="AQ16" i="47"/>
  <c r="AS16" i="47" s="1"/>
  <c r="AR15" i="47"/>
  <c r="AQ15" i="47"/>
  <c r="AS15" i="47" s="1"/>
  <c r="AQ14" i="47"/>
  <c r="AS14" i="47" s="1"/>
  <c r="AR13" i="47"/>
  <c r="AQ13" i="47"/>
  <c r="AS13" i="47" s="1"/>
  <c r="AQ12" i="47"/>
  <c r="AS12" i="47" s="1"/>
  <c r="AR11" i="47"/>
  <c r="AQ11" i="47"/>
  <c r="AQ6" i="47"/>
  <c r="AS6" i="47" s="1"/>
  <c r="AQ5" i="47"/>
  <c r="AO34" i="47"/>
  <c r="AN34" i="47"/>
  <c r="AP34" i="47" s="1"/>
  <c r="AO33" i="47"/>
  <c r="AN33" i="47"/>
  <c r="AP33" i="47" s="1"/>
  <c r="AO32" i="47"/>
  <c r="AN32" i="47"/>
  <c r="AO29" i="47"/>
  <c r="AN29" i="47"/>
  <c r="AP29" i="47" s="1"/>
  <c r="AO28" i="47"/>
  <c r="AN28" i="47"/>
  <c r="AP28" i="47" s="1"/>
  <c r="AO27" i="47"/>
  <c r="AN27" i="47"/>
  <c r="AP27" i="47" s="1"/>
  <c r="AO26" i="47"/>
  <c r="AN26" i="47"/>
  <c r="AP26" i="47" s="1"/>
  <c r="AN25" i="47"/>
  <c r="AN22" i="47"/>
  <c r="AP22" i="47" s="1"/>
  <c r="AO21" i="47"/>
  <c r="AN21" i="47"/>
  <c r="AP21" i="47" s="1"/>
  <c r="AO20" i="47"/>
  <c r="AN20" i="47"/>
  <c r="AP20" i="47" s="1"/>
  <c r="AO19" i="47"/>
  <c r="AN19" i="47"/>
  <c r="AO16" i="47"/>
  <c r="AO15" i="47"/>
  <c r="AN15" i="47"/>
  <c r="AP15" i="47" s="1"/>
  <c r="AO14" i="47"/>
  <c r="AO13" i="47"/>
  <c r="AN13" i="47"/>
  <c r="AP13" i="47" s="1"/>
  <c r="AO12" i="47"/>
  <c r="AO11" i="47"/>
  <c r="AN11" i="47"/>
  <c r="AN6" i="47"/>
  <c r="AP6" i="47" s="1"/>
  <c r="AL34" i="47"/>
  <c r="AK34" i="47"/>
  <c r="AM34" i="47" s="1"/>
  <c r="AL33" i="47"/>
  <c r="AK33" i="47"/>
  <c r="AM33" i="47" s="1"/>
  <c r="AK32" i="47"/>
  <c r="AL29" i="47"/>
  <c r="AK29" i="47"/>
  <c r="AM29" i="47" s="1"/>
  <c r="AL28" i="47"/>
  <c r="AK28" i="47"/>
  <c r="AM28" i="47" s="1"/>
  <c r="AL27" i="47"/>
  <c r="AK27" i="47"/>
  <c r="AM27" i="47" s="1"/>
  <c r="AL26" i="47"/>
  <c r="AK26" i="47"/>
  <c r="AM26" i="47" s="1"/>
  <c r="AL25" i="47"/>
  <c r="AK25" i="47"/>
  <c r="AL22" i="47"/>
  <c r="AK22" i="47"/>
  <c r="AM22" i="47" s="1"/>
  <c r="AL21" i="47"/>
  <c r="AK21" i="47"/>
  <c r="AM21" i="47" s="1"/>
  <c r="AL20" i="47"/>
  <c r="AK20" i="47"/>
  <c r="AM20" i="47" s="1"/>
  <c r="AL19" i="47"/>
  <c r="AK19" i="47"/>
  <c r="AL16" i="47"/>
  <c r="AK16" i="47"/>
  <c r="AM16" i="47" s="1"/>
  <c r="AK15" i="47"/>
  <c r="AM15" i="47" s="1"/>
  <c r="AL14" i="47"/>
  <c r="AK14" i="47"/>
  <c r="AM14" i="47" s="1"/>
  <c r="AK13" i="47"/>
  <c r="AM13" i="47" s="1"/>
  <c r="AL12" i="47"/>
  <c r="AK12" i="47"/>
  <c r="AM12" i="47" s="1"/>
  <c r="AK11" i="47"/>
  <c r="AK7" i="47"/>
  <c r="AM7" i="47" s="1"/>
  <c r="AI13" i="47"/>
  <c r="AI21" i="47"/>
  <c r="AH21" i="47"/>
  <c r="AJ21" i="47" s="1"/>
  <c r="AI27" i="47"/>
  <c r="AH27" i="47"/>
  <c r="AJ27" i="47" s="1"/>
  <c r="AI26" i="47"/>
  <c r="AH26" i="47"/>
  <c r="AH15" i="47"/>
  <c r="AJ15" i="47" s="1"/>
  <c r="AH19" i="47"/>
  <c r="AF34" i="47"/>
  <c r="AE34" i="47"/>
  <c r="AG34" i="47" s="1"/>
  <c r="AF33" i="47"/>
  <c r="AE33" i="47"/>
  <c r="AG33" i="47" s="1"/>
  <c r="AF32" i="47"/>
  <c r="AE32" i="47"/>
  <c r="AF29" i="47"/>
  <c r="AE29" i="47"/>
  <c r="AG29" i="47" s="1"/>
  <c r="AF28" i="47"/>
  <c r="AE28" i="47"/>
  <c r="AG28" i="47" s="1"/>
  <c r="AF27" i="47"/>
  <c r="AE27" i="47"/>
  <c r="AG27" i="47" s="1"/>
  <c r="AF26" i="47"/>
  <c r="AE26" i="47"/>
  <c r="AG26" i="47" s="1"/>
  <c r="AF25" i="47"/>
  <c r="AF30" i="47" s="1"/>
  <c r="AE25" i="47"/>
  <c r="AF22" i="47"/>
  <c r="AE22" i="47"/>
  <c r="AG22" i="47" s="1"/>
  <c r="AF21" i="47"/>
  <c r="AE21" i="47"/>
  <c r="AG21" i="47" s="1"/>
  <c r="AF20" i="47"/>
  <c r="AE20" i="47"/>
  <c r="AG20" i="47" s="1"/>
  <c r="AF19" i="47"/>
  <c r="AF23" i="47" s="1"/>
  <c r="AE19" i="47"/>
  <c r="AF15" i="47"/>
  <c r="AE15" i="47"/>
  <c r="AG15" i="47" s="1"/>
  <c r="AE14" i="47"/>
  <c r="AG14" i="47" s="1"/>
  <c r="AF13" i="47"/>
  <c r="AE13" i="47"/>
  <c r="AG13" i="47" s="1"/>
  <c r="AE12" i="47"/>
  <c r="AG12" i="47" s="1"/>
  <c r="AF11" i="47"/>
  <c r="AE11" i="47"/>
  <c r="AF8" i="47"/>
  <c r="AE7" i="47"/>
  <c r="AG7" i="47" s="1"/>
  <c r="AE16" i="47"/>
  <c r="AG16" i="47" s="1"/>
  <c r="AC34" i="47"/>
  <c r="AB34" i="47"/>
  <c r="AD34" i="47" s="1"/>
  <c r="AC33" i="47"/>
  <c r="AB33" i="47"/>
  <c r="AD33" i="47" s="1"/>
  <c r="AC32" i="47"/>
  <c r="AB32" i="47"/>
  <c r="AC29" i="47"/>
  <c r="AB29" i="47"/>
  <c r="AD29" i="47" s="1"/>
  <c r="AC28" i="47"/>
  <c r="AB28" i="47"/>
  <c r="AD28" i="47" s="1"/>
  <c r="AC27" i="47"/>
  <c r="AB27" i="47"/>
  <c r="AD27" i="47" s="1"/>
  <c r="AC26" i="47"/>
  <c r="AB26" i="47"/>
  <c r="AD26" i="47" s="1"/>
  <c r="AC25" i="47"/>
  <c r="AB25" i="47"/>
  <c r="AC22" i="47"/>
  <c r="AB22" i="47"/>
  <c r="AD22" i="47" s="1"/>
  <c r="AB21" i="47"/>
  <c r="AD21" i="47" s="1"/>
  <c r="AC20" i="47"/>
  <c r="AB20" i="47"/>
  <c r="AD20" i="47" s="1"/>
  <c r="AC19" i="47"/>
  <c r="AB19" i="47"/>
  <c r="AC16" i="47"/>
  <c r="AB16" i="47"/>
  <c r="AD16" i="47" s="1"/>
  <c r="AC15" i="47"/>
  <c r="AB15" i="47"/>
  <c r="AD15" i="47" s="1"/>
  <c r="AC14" i="47"/>
  <c r="AC13" i="47"/>
  <c r="AB13" i="47"/>
  <c r="AD13" i="47" s="1"/>
  <c r="AC12" i="47"/>
  <c r="AC11" i="47"/>
  <c r="AB11" i="47"/>
  <c r="AC8" i="47"/>
  <c r="AC6" i="47"/>
  <c r="Z34" i="47"/>
  <c r="Y34" i="47"/>
  <c r="AA34" i="47" s="1"/>
  <c r="Z33" i="47"/>
  <c r="Y33" i="47"/>
  <c r="AA33" i="47" s="1"/>
  <c r="Z32" i="47"/>
  <c r="Y32" i="47"/>
  <c r="Z29" i="47"/>
  <c r="Y29" i="47"/>
  <c r="AA29" i="47" s="1"/>
  <c r="Z28" i="47"/>
  <c r="Y28" i="47"/>
  <c r="AA28" i="47" s="1"/>
  <c r="Z27" i="47"/>
  <c r="Y27" i="47"/>
  <c r="AA27" i="47" s="1"/>
  <c r="Z26" i="47"/>
  <c r="Y26" i="47"/>
  <c r="AA26" i="47" s="1"/>
  <c r="Z25" i="47"/>
  <c r="Y25" i="47"/>
  <c r="Z22" i="47"/>
  <c r="Z21" i="47"/>
  <c r="Y21" i="47"/>
  <c r="AA21" i="47" s="1"/>
  <c r="Z20" i="47"/>
  <c r="Y20" i="47"/>
  <c r="AA20" i="47" s="1"/>
  <c r="Z19" i="47"/>
  <c r="Y19" i="47"/>
  <c r="Z16" i="47"/>
  <c r="Y16" i="47"/>
  <c r="AA16" i="47" s="1"/>
  <c r="Y15" i="47"/>
  <c r="AA15" i="47" s="1"/>
  <c r="Z14" i="47"/>
  <c r="Y14" i="47"/>
  <c r="AA14" i="47" s="1"/>
  <c r="Y13" i="47"/>
  <c r="AA13" i="47" s="1"/>
  <c r="Z12" i="47"/>
  <c r="Y12" i="47"/>
  <c r="AA12" i="47" s="1"/>
  <c r="Y11" i="47"/>
  <c r="Z6" i="47"/>
  <c r="W34" i="47"/>
  <c r="V34" i="47"/>
  <c r="X34" i="47" s="1"/>
  <c r="W33" i="47"/>
  <c r="V33" i="47"/>
  <c r="X33" i="47" s="1"/>
  <c r="W32" i="47"/>
  <c r="V32" i="47"/>
  <c r="W29" i="47"/>
  <c r="V29" i="47"/>
  <c r="X29" i="47" s="1"/>
  <c r="W28" i="47"/>
  <c r="V28" i="47"/>
  <c r="X28" i="47" s="1"/>
  <c r="W27" i="47"/>
  <c r="V27" i="47"/>
  <c r="X27" i="47" s="1"/>
  <c r="W26" i="47"/>
  <c r="V26" i="47"/>
  <c r="X26" i="47" s="1"/>
  <c r="W25" i="47"/>
  <c r="V25" i="47"/>
  <c r="W22" i="47"/>
  <c r="V22" i="47"/>
  <c r="X22" i="47" s="1"/>
  <c r="W21" i="47"/>
  <c r="V21" i="47"/>
  <c r="X21" i="47" s="1"/>
  <c r="V20" i="47"/>
  <c r="X20" i="47" s="1"/>
  <c r="W19" i="47"/>
  <c r="V19" i="47"/>
  <c r="W16" i="47"/>
  <c r="V16" i="47"/>
  <c r="X16" i="47" s="1"/>
  <c r="W15" i="47"/>
  <c r="W14" i="47"/>
  <c r="V14" i="47"/>
  <c r="X14" i="47" s="1"/>
  <c r="W13" i="47"/>
  <c r="W12" i="47"/>
  <c r="V12" i="47"/>
  <c r="X12" i="47" s="1"/>
  <c r="W11" i="47"/>
  <c r="T32" i="47"/>
  <c r="T35" i="47" s="1"/>
  <c r="S32" i="47"/>
  <c r="T25" i="47"/>
  <c r="T30" i="47" s="1"/>
  <c r="S25" i="47"/>
  <c r="T19" i="47"/>
  <c r="T23" i="47" s="1"/>
  <c r="T13" i="47"/>
  <c r="T17" i="47" s="1"/>
  <c r="Q34" i="47"/>
  <c r="P34" i="47"/>
  <c r="R34" i="47" s="1"/>
  <c r="Q33" i="47"/>
  <c r="P33" i="47"/>
  <c r="R33" i="47" s="1"/>
  <c r="Q32" i="47"/>
  <c r="P32" i="47"/>
  <c r="Q29" i="47"/>
  <c r="P29" i="47"/>
  <c r="R29" i="47" s="1"/>
  <c r="Q28" i="47"/>
  <c r="P28" i="47"/>
  <c r="R28" i="47" s="1"/>
  <c r="Q27" i="47"/>
  <c r="P27" i="47"/>
  <c r="R27" i="47" s="1"/>
  <c r="Q26" i="47"/>
  <c r="P26" i="47"/>
  <c r="R26" i="47" s="1"/>
  <c r="Q25" i="47"/>
  <c r="P25" i="47"/>
  <c r="Q22" i="47"/>
  <c r="P22" i="47"/>
  <c r="R22" i="47" s="1"/>
  <c r="Q21" i="47"/>
  <c r="P21" i="47"/>
  <c r="R21" i="47" s="1"/>
  <c r="Q20" i="47"/>
  <c r="P20" i="47"/>
  <c r="R20" i="47" s="1"/>
  <c r="P19" i="47"/>
  <c r="Q16" i="47"/>
  <c r="Q15" i="47"/>
  <c r="P15" i="47"/>
  <c r="R15" i="47" s="1"/>
  <c r="Q14" i="47"/>
  <c r="Q13" i="47"/>
  <c r="P13" i="47"/>
  <c r="R13" i="47" s="1"/>
  <c r="Q12" i="47"/>
  <c r="Q11" i="47"/>
  <c r="P11" i="47"/>
  <c r="P8" i="47"/>
  <c r="R8" i="47" s="1"/>
  <c r="P7" i="47"/>
  <c r="R7" i="47" s="1"/>
  <c r="N34" i="47"/>
  <c r="M34" i="47"/>
  <c r="O34" i="47" s="1"/>
  <c r="N33" i="47"/>
  <c r="M33" i="47"/>
  <c r="O33" i="47" s="1"/>
  <c r="N32" i="47"/>
  <c r="M32" i="47"/>
  <c r="N29" i="47"/>
  <c r="M29" i="47"/>
  <c r="O29" i="47" s="1"/>
  <c r="N28" i="47"/>
  <c r="M28" i="47"/>
  <c r="O28" i="47" s="1"/>
  <c r="N27" i="47"/>
  <c r="M27" i="47"/>
  <c r="O27" i="47" s="1"/>
  <c r="N26" i="47"/>
  <c r="M26" i="47"/>
  <c r="O26" i="47" s="1"/>
  <c r="N25" i="47"/>
  <c r="M25" i="47"/>
  <c r="N22" i="47"/>
  <c r="M22" i="47"/>
  <c r="O22" i="47" s="1"/>
  <c r="N21" i="47"/>
  <c r="M21" i="47"/>
  <c r="O21" i="47" s="1"/>
  <c r="N20" i="47"/>
  <c r="M20" i="47"/>
  <c r="O20" i="47" s="1"/>
  <c r="N19" i="47"/>
  <c r="M19" i="47"/>
  <c r="N16" i="47"/>
  <c r="M16" i="47"/>
  <c r="O16" i="47" s="1"/>
  <c r="M15" i="47"/>
  <c r="O15" i="47" s="1"/>
  <c r="N14" i="47"/>
  <c r="M14" i="47"/>
  <c r="O14" i="47" s="1"/>
  <c r="M13" i="47"/>
  <c r="O13" i="47" s="1"/>
  <c r="N12" i="47"/>
  <c r="M12" i="47"/>
  <c r="O12" i="47" s="1"/>
  <c r="M11" i="47"/>
  <c r="J19" i="47"/>
  <c r="K32" i="47"/>
  <c r="K35" i="47" s="1"/>
  <c r="J32" i="47"/>
  <c r="K21" i="47"/>
  <c r="J21" i="47"/>
  <c r="L21" i="47" s="1"/>
  <c r="J20" i="47"/>
  <c r="L20" i="47" s="1"/>
  <c r="K11" i="47"/>
  <c r="J11" i="47"/>
  <c r="K16" i="47"/>
  <c r="J16" i="47"/>
  <c r="L16" i="47" s="1"/>
  <c r="K14" i="47"/>
  <c r="J14" i="47"/>
  <c r="L14" i="47" s="1"/>
  <c r="K13" i="47"/>
  <c r="E34" i="47"/>
  <c r="D34" i="47"/>
  <c r="E33" i="47"/>
  <c r="D33" i="47"/>
  <c r="E32" i="47"/>
  <c r="D32" i="47"/>
  <c r="E29" i="47"/>
  <c r="D29" i="47"/>
  <c r="E28" i="47"/>
  <c r="D28" i="47"/>
  <c r="E27" i="47"/>
  <c r="D27" i="47"/>
  <c r="E26" i="47"/>
  <c r="D26" i="47"/>
  <c r="E25" i="47"/>
  <c r="D25" i="47"/>
  <c r="E22" i="47"/>
  <c r="D22" i="47"/>
  <c r="E21" i="47"/>
  <c r="D21" i="47"/>
  <c r="E20" i="47"/>
  <c r="D20" i="47"/>
  <c r="E16" i="47"/>
  <c r="E15" i="47"/>
  <c r="D15" i="47"/>
  <c r="E14" i="47"/>
  <c r="E13" i="47"/>
  <c r="D13" i="47"/>
  <c r="E12" i="47"/>
  <c r="E11" i="47"/>
  <c r="D11" i="47"/>
  <c r="E7" i="47"/>
  <c r="G33" i="47"/>
  <c r="I33" i="47" s="1"/>
  <c r="G29" i="47"/>
  <c r="I29" i="47" s="1"/>
  <c r="G27" i="47"/>
  <c r="I27" i="47" s="1"/>
  <c r="G25" i="47"/>
  <c r="G21" i="47"/>
  <c r="I21" i="47" s="1"/>
  <c r="G19" i="47"/>
  <c r="G15" i="47"/>
  <c r="I15" i="47" s="1"/>
  <c r="G13" i="47"/>
  <c r="I13" i="47" s="1"/>
  <c r="G11" i="47"/>
  <c r="G7" i="47"/>
  <c r="I7" i="47" s="1"/>
  <c r="G5" i="47"/>
  <c r="AX10" i="8" l="1"/>
  <c r="AR23" i="47"/>
  <c r="N35" i="47"/>
  <c r="Z23" i="47"/>
  <c r="Z30" i="47"/>
  <c r="AL23" i="47"/>
  <c r="AL30" i="47"/>
  <c r="AR30" i="47"/>
  <c r="H5" i="47"/>
  <c r="H7" i="47"/>
  <c r="H11" i="47"/>
  <c r="H13" i="47"/>
  <c r="H15" i="47"/>
  <c r="H19" i="47"/>
  <c r="H21" i="47"/>
  <c r="H25" i="47"/>
  <c r="H27" i="47"/>
  <c r="H29" i="47"/>
  <c r="H33" i="47"/>
  <c r="D19" i="47"/>
  <c r="D23" i="47" s="1"/>
  <c r="K19" i="47"/>
  <c r="Q35" i="47"/>
  <c r="W35" i="47"/>
  <c r="AC17" i="47"/>
  <c r="AC30" i="47"/>
  <c r="AI19" i="47"/>
  <c r="AI23" i="47" s="1"/>
  <c r="AI15" i="47"/>
  <c r="AO17" i="47"/>
  <c r="AU5" i="47"/>
  <c r="AU7" i="47"/>
  <c r="AU11" i="47"/>
  <c r="AU13" i="47"/>
  <c r="AU15" i="47"/>
  <c r="AU19" i="47"/>
  <c r="AU21" i="47"/>
  <c r="AU25" i="47"/>
  <c r="AU27" i="47"/>
  <c r="AU29" i="47"/>
  <c r="AU33" i="47"/>
  <c r="AU20" i="47"/>
  <c r="AU22" i="47"/>
  <c r="AU26" i="47"/>
  <c r="AU28" i="47"/>
  <c r="AU32" i="47"/>
  <c r="AU34" i="47"/>
  <c r="I25" i="47"/>
  <c r="D5" i="47"/>
  <c r="F13" i="47"/>
  <c r="F21" i="47"/>
  <c r="B21" i="47"/>
  <c r="F29" i="47"/>
  <c r="B29" i="47"/>
  <c r="H6" i="47"/>
  <c r="H8" i="47"/>
  <c r="H12" i="47"/>
  <c r="H14" i="47"/>
  <c r="H16" i="47"/>
  <c r="H20" i="47"/>
  <c r="H22" i="47"/>
  <c r="H26" i="47"/>
  <c r="H28" i="47"/>
  <c r="H32" i="47"/>
  <c r="H34" i="47"/>
  <c r="D6" i="47"/>
  <c r="D8" i="47"/>
  <c r="D12" i="47"/>
  <c r="D14" i="47"/>
  <c r="D16" i="47"/>
  <c r="F20" i="47"/>
  <c r="F22" i="47"/>
  <c r="F26" i="47"/>
  <c r="F28" i="47"/>
  <c r="D35" i="47"/>
  <c r="F32" i="47"/>
  <c r="F34" i="47"/>
  <c r="K17" i="47"/>
  <c r="K20" i="47"/>
  <c r="M6" i="47"/>
  <c r="O6" i="47" s="1"/>
  <c r="M8" i="47"/>
  <c r="O8" i="47" s="1"/>
  <c r="M35" i="47"/>
  <c r="O32" i="47"/>
  <c r="O35" i="47" s="1"/>
  <c r="Q5" i="47"/>
  <c r="Q7" i="47"/>
  <c r="Q17" i="47"/>
  <c r="Q19" i="47"/>
  <c r="Q23" i="47" s="1"/>
  <c r="Q30" i="47"/>
  <c r="S13" i="47"/>
  <c r="S19" i="47"/>
  <c r="B19" i="47" s="1"/>
  <c r="S35" i="47"/>
  <c r="U32" i="47"/>
  <c r="U35" i="47" s="1"/>
  <c r="W5" i="47"/>
  <c r="W7" i="47"/>
  <c r="W17" i="47"/>
  <c r="W30" i="47"/>
  <c r="Y5" i="47"/>
  <c r="Y7" i="47"/>
  <c r="AA7" i="47" s="1"/>
  <c r="AA11" i="47"/>
  <c r="AA17" i="47" s="1"/>
  <c r="Y17" i="47"/>
  <c r="AA19" i="47"/>
  <c r="AA25" i="47"/>
  <c r="AA30" i="47" s="1"/>
  <c r="Y30" i="47"/>
  <c r="AC35" i="47"/>
  <c r="AE5" i="47"/>
  <c r="AG11" i="47"/>
  <c r="AG17" i="47" s="1"/>
  <c r="AE17" i="47"/>
  <c r="AE23" i="47"/>
  <c r="AG19" i="47"/>
  <c r="AG23" i="47" s="1"/>
  <c r="AG25" i="47"/>
  <c r="AG30" i="47" s="1"/>
  <c r="AE30" i="47"/>
  <c r="AI11" i="47"/>
  <c r="AI30" i="47"/>
  <c r="AI34" i="47"/>
  <c r="AI35" i="47" s="1"/>
  <c r="AK5" i="47"/>
  <c r="AM11" i="47"/>
  <c r="AM17" i="47" s="1"/>
  <c r="AK17" i="47"/>
  <c r="AM19" i="47"/>
  <c r="AM23" i="47" s="1"/>
  <c r="AK23" i="47"/>
  <c r="AK30" i="47"/>
  <c r="AM25" i="47"/>
  <c r="AM30" i="47" s="1"/>
  <c r="AO6" i="47"/>
  <c r="AO8" i="47"/>
  <c r="AO22" i="47"/>
  <c r="C22" i="47" s="1"/>
  <c r="AO35" i="47"/>
  <c r="AS5" i="47"/>
  <c r="AQ7" i="47"/>
  <c r="AS7" i="47" s="1"/>
  <c r="AS11" i="47"/>
  <c r="AS17" i="47" s="1"/>
  <c r="AQ17" i="47"/>
  <c r="AQ23" i="47"/>
  <c r="AS19" i="47"/>
  <c r="AS23" i="47" s="1"/>
  <c r="AQ30" i="47"/>
  <c r="AS25" i="47"/>
  <c r="AS30" i="47" s="1"/>
  <c r="AW17" i="47"/>
  <c r="AY11" i="47"/>
  <c r="AY17" i="47" s="1"/>
  <c r="I5" i="47"/>
  <c r="I19" i="47"/>
  <c r="E6" i="47"/>
  <c r="E8" i="47"/>
  <c r="E35" i="47"/>
  <c r="J13" i="47"/>
  <c r="L13" i="47" s="1"/>
  <c r="J23" i="47"/>
  <c r="L19" i="47"/>
  <c r="L23" i="47" s="1"/>
  <c r="J8" i="47"/>
  <c r="N6" i="47"/>
  <c r="N8" i="47"/>
  <c r="P6" i="47"/>
  <c r="R6" i="47" s="1"/>
  <c r="P12" i="47"/>
  <c r="R12" i="47" s="1"/>
  <c r="P14" i="47"/>
  <c r="R14" i="47" s="1"/>
  <c r="P16" i="47"/>
  <c r="R16" i="47" s="1"/>
  <c r="P35" i="47"/>
  <c r="R32" i="47"/>
  <c r="R35" i="47" s="1"/>
  <c r="V6" i="47"/>
  <c r="X6" i="47" s="1"/>
  <c r="V8" i="47"/>
  <c r="X8" i="47" s="1"/>
  <c r="X32" i="47"/>
  <c r="X35" i="47" s="1"/>
  <c r="V35" i="47"/>
  <c r="Z5" i="47"/>
  <c r="Z7" i="47"/>
  <c r="Z11" i="47"/>
  <c r="Z13" i="47"/>
  <c r="Z15" i="47"/>
  <c r="AB5" i="47"/>
  <c r="AB7" i="47"/>
  <c r="AD7" i="47" s="1"/>
  <c r="AD11" i="47"/>
  <c r="AB23" i="47"/>
  <c r="AD19" i="47"/>
  <c r="AD23" i="47" s="1"/>
  <c r="AD25" i="47"/>
  <c r="AD30" i="47" s="1"/>
  <c r="AB30" i="47"/>
  <c r="AF5" i="47"/>
  <c r="AF7" i="47"/>
  <c r="AJ19" i="47"/>
  <c r="AJ23" i="47" s="1"/>
  <c r="AH23" i="47"/>
  <c r="AH13" i="47"/>
  <c r="AJ13" i="47" s="1"/>
  <c r="AL5" i="47"/>
  <c r="AL7" i="47"/>
  <c r="AL11" i="47"/>
  <c r="AL13" i="47"/>
  <c r="AL15" i="47"/>
  <c r="AN5" i="47"/>
  <c r="AN7" i="47"/>
  <c r="AP7" i="47" s="1"/>
  <c r="AP11" i="47"/>
  <c r="AN23" i="47"/>
  <c r="AP19" i="47"/>
  <c r="AP23" i="47" s="1"/>
  <c r="AP25" i="47"/>
  <c r="AP30" i="47" s="1"/>
  <c r="AN30" i="47"/>
  <c r="AR5" i="47"/>
  <c r="AR7" i="47"/>
  <c r="AV5" i="47"/>
  <c r="AV9" i="47" s="1"/>
  <c r="AT9" i="47"/>
  <c r="AV11" i="47"/>
  <c r="AV17" i="47" s="1"/>
  <c r="AT17" i="47"/>
  <c r="AT23" i="47"/>
  <c r="AV19" i="47"/>
  <c r="AV23" i="47" s="1"/>
  <c r="AV25" i="47"/>
  <c r="AV30" i="47" s="1"/>
  <c r="AT30" i="47"/>
  <c r="AX11" i="47"/>
  <c r="AX17" i="47" s="1"/>
  <c r="D7" i="47"/>
  <c r="F19" i="47"/>
  <c r="B27" i="47"/>
  <c r="F27" i="47"/>
  <c r="M5" i="47"/>
  <c r="M7" i="47"/>
  <c r="O7" i="47" s="1"/>
  <c r="O11" i="47"/>
  <c r="O17" i="47" s="1"/>
  <c r="M17" i="47"/>
  <c r="M23" i="47"/>
  <c r="O19" i="47"/>
  <c r="O23" i="47" s="1"/>
  <c r="M30" i="47"/>
  <c r="O25" i="47"/>
  <c r="O30" i="47" s="1"/>
  <c r="Q6" i="47"/>
  <c r="Q8" i="47"/>
  <c r="S30" i="47"/>
  <c r="U25" i="47"/>
  <c r="U30" i="47" s="1"/>
  <c r="W6" i="47"/>
  <c r="W8" i="47"/>
  <c r="W20" i="47"/>
  <c r="W23" i="47" s="1"/>
  <c r="Y6" i="47"/>
  <c r="AA6" i="47" s="1"/>
  <c r="Y8" i="47"/>
  <c r="AA8" i="47" s="1"/>
  <c r="Y22" i="47"/>
  <c r="AA22" i="47" s="1"/>
  <c r="AA32" i="47"/>
  <c r="AA35" i="47" s="1"/>
  <c r="Y35" i="47"/>
  <c r="AC5" i="47"/>
  <c r="AC7" i="47"/>
  <c r="AC21" i="47"/>
  <c r="AC23" i="47" s="1"/>
  <c r="AE6" i="47"/>
  <c r="AG6" i="47" s="1"/>
  <c r="AE8" i="47"/>
  <c r="AG8" i="47" s="1"/>
  <c r="AE35" i="47"/>
  <c r="AG32" i="47"/>
  <c r="AG35" i="47" s="1"/>
  <c r="AK6" i="47"/>
  <c r="AM6" i="47" s="1"/>
  <c r="AK8" i="47"/>
  <c r="AM8" i="47" s="1"/>
  <c r="AK35" i="47"/>
  <c r="AM32" i="47"/>
  <c r="AM35" i="47" s="1"/>
  <c r="AO5" i="47"/>
  <c r="AO7" i="47"/>
  <c r="AO23" i="47"/>
  <c r="AO25" i="47"/>
  <c r="AO30" i="47" s="1"/>
  <c r="AQ8" i="47"/>
  <c r="AS8" i="47" s="1"/>
  <c r="AQ35" i="47"/>
  <c r="AS32" i="47"/>
  <c r="AS35" i="47" s="1"/>
  <c r="I11" i="47"/>
  <c r="F11" i="47"/>
  <c r="F15" i="47"/>
  <c r="D30" i="47"/>
  <c r="F25" i="47"/>
  <c r="B25" i="47"/>
  <c r="F33" i="47"/>
  <c r="B33" i="47"/>
  <c r="K8" i="47"/>
  <c r="K9" i="47" s="1"/>
  <c r="G6" i="47"/>
  <c r="I6" i="47" s="1"/>
  <c r="G8" i="47"/>
  <c r="I8" i="47" s="1"/>
  <c r="G12" i="47"/>
  <c r="I12" i="47" s="1"/>
  <c r="G14" i="47"/>
  <c r="I14" i="47" s="1"/>
  <c r="G16" i="47"/>
  <c r="I16" i="47" s="1"/>
  <c r="G20" i="47"/>
  <c r="I20" i="47" s="1"/>
  <c r="G22" i="47"/>
  <c r="I22" i="47" s="1"/>
  <c r="G26" i="47"/>
  <c r="I26" i="47" s="1"/>
  <c r="G28" i="47"/>
  <c r="I28" i="47" s="1"/>
  <c r="G32" i="47"/>
  <c r="B32" i="47" s="1"/>
  <c r="G34" i="47"/>
  <c r="I34" i="47" s="1"/>
  <c r="E5" i="47"/>
  <c r="E17" i="47"/>
  <c r="E19" i="47"/>
  <c r="C21" i="47"/>
  <c r="E30" i="47"/>
  <c r="C29" i="47"/>
  <c r="L11" i="47"/>
  <c r="L32" i="47"/>
  <c r="L35" i="47" s="1"/>
  <c r="J35" i="47"/>
  <c r="N5" i="47"/>
  <c r="N7" i="47"/>
  <c r="N11" i="47"/>
  <c r="N13" i="47"/>
  <c r="N15" i="47"/>
  <c r="N23" i="47"/>
  <c r="N30" i="47"/>
  <c r="P5" i="47"/>
  <c r="R11" i="47"/>
  <c r="P23" i="47"/>
  <c r="R19" i="47"/>
  <c r="R23" i="47" s="1"/>
  <c r="R25" i="47"/>
  <c r="R30" i="47" s="1"/>
  <c r="P30" i="47"/>
  <c r="V5" i="47"/>
  <c r="V7" i="47"/>
  <c r="X7" i="47" s="1"/>
  <c r="V11" i="47"/>
  <c r="V13" i="47"/>
  <c r="X13" i="47" s="1"/>
  <c r="V15" i="47"/>
  <c r="X15" i="47" s="1"/>
  <c r="X19" i="47"/>
  <c r="X23" i="47" s="1"/>
  <c r="V23" i="47"/>
  <c r="V30" i="47"/>
  <c r="X25" i="47"/>
  <c r="X30" i="47" s="1"/>
  <c r="Z8" i="47"/>
  <c r="Z35" i="47"/>
  <c r="AB6" i="47"/>
  <c r="AD6" i="47" s="1"/>
  <c r="AB8" i="47"/>
  <c r="AD8" i="47" s="1"/>
  <c r="AB12" i="47"/>
  <c r="AD12" i="47" s="1"/>
  <c r="AB14" i="47"/>
  <c r="AD14" i="47" s="1"/>
  <c r="AB35" i="47"/>
  <c r="AD32" i="47"/>
  <c r="AD35" i="47" s="1"/>
  <c r="AF16" i="47"/>
  <c r="AF6" i="47"/>
  <c r="AF12" i="47"/>
  <c r="AF14" i="47"/>
  <c r="AF35" i="47"/>
  <c r="AH11" i="47"/>
  <c r="AJ26" i="47"/>
  <c r="AJ30" i="47" s="1"/>
  <c r="AH30" i="47"/>
  <c r="AH34" i="47"/>
  <c r="AL6" i="47"/>
  <c r="AL8" i="47"/>
  <c r="AL32" i="47"/>
  <c r="AL35" i="47" s="1"/>
  <c r="AN8" i="47"/>
  <c r="AP8" i="47" s="1"/>
  <c r="AN12" i="47"/>
  <c r="AP12" i="47" s="1"/>
  <c r="AN14" i="47"/>
  <c r="AP14" i="47" s="1"/>
  <c r="AN16" i="47"/>
  <c r="AP16" i="47" s="1"/>
  <c r="AP32" i="47"/>
  <c r="AP35" i="47" s="1"/>
  <c r="AN35" i="47"/>
  <c r="AR6" i="47"/>
  <c r="AR8" i="47"/>
  <c r="AR12" i="47"/>
  <c r="AR14" i="47"/>
  <c r="AR35" i="47"/>
  <c r="AV32" i="47"/>
  <c r="AV35" i="47" s="1"/>
  <c r="AT35" i="47"/>
  <c r="C28" i="47" l="1"/>
  <c r="H9" i="47"/>
  <c r="C13" i="47"/>
  <c r="C33" i="47"/>
  <c r="F23" i="47"/>
  <c r="D17" i="47"/>
  <c r="H23" i="47"/>
  <c r="AI17" i="47"/>
  <c r="C26" i="47"/>
  <c r="C16" i="47"/>
  <c r="C7" i="47"/>
  <c r="AU35" i="47"/>
  <c r="AU23" i="47"/>
  <c r="AU9" i="47"/>
  <c r="K23" i="47"/>
  <c r="H30" i="47"/>
  <c r="H17" i="47"/>
  <c r="C14" i="47"/>
  <c r="P17" i="47"/>
  <c r="C15" i="47"/>
  <c r="C11" i="47"/>
  <c r="J17" i="47"/>
  <c r="C27" i="47"/>
  <c r="F30" i="47"/>
  <c r="AC9" i="47"/>
  <c r="C34" i="47"/>
  <c r="AU30" i="47"/>
  <c r="AU17" i="47"/>
  <c r="L17" i="47"/>
  <c r="AO9" i="47"/>
  <c r="Z9" i="47"/>
  <c r="AR17" i="47"/>
  <c r="N9" i="47"/>
  <c r="C12" i="47"/>
  <c r="C20" i="47"/>
  <c r="AJ34" i="47"/>
  <c r="AJ35" i="47" s="1"/>
  <c r="AH35" i="47"/>
  <c r="R17" i="47"/>
  <c r="C25" i="47"/>
  <c r="E9" i="47"/>
  <c r="C5" i="47"/>
  <c r="B15" i="47"/>
  <c r="G17" i="47"/>
  <c r="AR9" i="47"/>
  <c r="AL17" i="47"/>
  <c r="AL9" i="47"/>
  <c r="AD17" i="47"/>
  <c r="AD5" i="47"/>
  <c r="AD9" i="47" s="1"/>
  <c r="AB9" i="47"/>
  <c r="L8" i="47"/>
  <c r="L9" i="47" s="1"/>
  <c r="J9" i="47"/>
  <c r="C8" i="47"/>
  <c r="I23" i="47"/>
  <c r="AS9" i="47"/>
  <c r="AA5" i="47"/>
  <c r="AA9" i="47" s="1"/>
  <c r="Y9" i="47"/>
  <c r="U13" i="47"/>
  <c r="U17" i="47" s="1"/>
  <c r="S17" i="47"/>
  <c r="F35" i="47"/>
  <c r="F14" i="47"/>
  <c r="B14" i="47"/>
  <c r="H35" i="47"/>
  <c r="B5" i="47"/>
  <c r="D9" i="47"/>
  <c r="F5" i="47"/>
  <c r="AB17" i="47"/>
  <c r="G23" i="47"/>
  <c r="AE9" i="47"/>
  <c r="AG5" i="47"/>
  <c r="AG9" i="47" s="1"/>
  <c r="F6" i="47"/>
  <c r="B6" i="47"/>
  <c r="X11" i="47"/>
  <c r="X17" i="47" s="1"/>
  <c r="V17" i="47"/>
  <c r="V9" i="47"/>
  <c r="X5" i="47"/>
  <c r="X9" i="47" s="1"/>
  <c r="P9" i="47"/>
  <c r="R5" i="47"/>
  <c r="R9" i="47" s="1"/>
  <c r="N17" i="47"/>
  <c r="C19" i="47"/>
  <c r="E23" i="47"/>
  <c r="B11" i="47"/>
  <c r="AP17" i="47"/>
  <c r="AP5" i="47"/>
  <c r="AP9" i="47" s="1"/>
  <c r="AN9" i="47"/>
  <c r="AF9" i="47"/>
  <c r="Z17" i="47"/>
  <c r="C6" i="47"/>
  <c r="G9" i="47"/>
  <c r="AM5" i="47"/>
  <c r="AM9" i="47" s="1"/>
  <c r="AK9" i="47"/>
  <c r="Y23" i="47"/>
  <c r="B34" i="47"/>
  <c r="B35" i="47" s="1"/>
  <c r="B26" i="47"/>
  <c r="B20" i="47"/>
  <c r="F12" i="47"/>
  <c r="B12" i="47"/>
  <c r="I30" i="47"/>
  <c r="AJ11" i="47"/>
  <c r="AJ17" i="47" s="1"/>
  <c r="AH17" i="47"/>
  <c r="I32" i="47"/>
  <c r="I35" i="47" s="1"/>
  <c r="G35" i="47"/>
  <c r="I17" i="47"/>
  <c r="O5" i="47"/>
  <c r="O9" i="47" s="1"/>
  <c r="M9" i="47"/>
  <c r="F7" i="47"/>
  <c r="B7" i="47"/>
  <c r="AN17" i="47"/>
  <c r="AF17" i="47"/>
  <c r="C32" i="47"/>
  <c r="I9" i="47"/>
  <c r="AQ9" i="47"/>
  <c r="AA23" i="47"/>
  <c r="W9" i="47"/>
  <c r="U19" i="47"/>
  <c r="U23" i="47" s="1"/>
  <c r="S23" i="47"/>
  <c r="Q9" i="47"/>
  <c r="B28" i="47"/>
  <c r="B22" i="47"/>
  <c r="B23" i="47" s="1"/>
  <c r="F16" i="47"/>
  <c r="B16" i="47"/>
  <c r="F8" i="47"/>
  <c r="B8" i="47"/>
  <c r="B13" i="47"/>
  <c r="G30" i="47"/>
  <c r="C35" i="47" l="1"/>
  <c r="C30" i="47"/>
  <c r="C17" i="47"/>
  <c r="C23" i="47"/>
  <c r="B30" i="47"/>
  <c r="F17" i="47"/>
  <c r="F9" i="47"/>
  <c r="C9" i="47"/>
  <c r="B17" i="47"/>
  <c r="B9" i="47"/>
</calcChain>
</file>

<file path=xl/sharedStrings.xml><?xml version="1.0" encoding="utf-8"?>
<sst xmlns="http://schemas.openxmlformats.org/spreadsheetml/2006/main" count="2295" uniqueCount="134">
  <si>
    <t>ภ.4</t>
  </si>
  <si>
    <t>ภ.7</t>
  </si>
  <si>
    <t>ภ.3</t>
  </si>
  <si>
    <t>ภ.8</t>
  </si>
  <si>
    <t>ภ.2</t>
  </si>
  <si>
    <t>บช.ก.</t>
  </si>
  <si>
    <t>บช.สอท.</t>
  </si>
  <si>
    <t>สตม.</t>
  </si>
  <si>
    <t>ภ.9</t>
  </si>
  <si>
    <t>ภ.1</t>
  </si>
  <si>
    <t>บช.ทท.</t>
  </si>
  <si>
    <t>บช.น.</t>
  </si>
  <si>
    <t>บช.ปส.</t>
  </si>
  <si>
    <t>บช.ตชด.</t>
  </si>
  <si>
    <t>ภ.5</t>
  </si>
  <si>
    <t>ภ.6</t>
  </si>
  <si>
    <t>รายงานผลการปฏิบัติของวันที่</t>
  </si>
  <si>
    <t>แบบรายงานผลระดมกวาดล้างอาชญากรรม</t>
  </si>
  <si>
    <t>ห้วงวันที่ 23 -</t>
  </si>
  <si>
    <t>ความผิดเกี่ยวกับอาชญากรรม</t>
  </si>
  <si>
    <t>รวมทั้งหมด</t>
  </si>
  <si>
    <t>ราย</t>
  </si>
  <si>
    <t xml:space="preserve"> คน</t>
  </si>
  <si>
    <t>1.ความผิดเกี่ยวกับการพนัน</t>
  </si>
  <si>
    <t xml:space="preserve">     1.1 บ่อนการพนัน (เล่นการพนันตั้งแต่ 20 คนขึ้นไป)</t>
  </si>
  <si>
    <t xml:space="preserve">     1.2 สลากกินรวบ</t>
  </si>
  <si>
    <t xml:space="preserve">               1.2.1 เจ้ามือ</t>
  </si>
  <si>
    <t xml:space="preserve">               1.2.2 ผู้เล่น</t>
  </si>
  <si>
    <t xml:space="preserve">     1.3 ทายผลบอล/ออนไลน์</t>
  </si>
  <si>
    <t xml:space="preserve">                1.3.1 เจ้ามือ</t>
  </si>
  <si>
    <t xml:space="preserve">                1.3.2 ผู้เล่น</t>
  </si>
  <si>
    <t xml:space="preserve">     1.4 การพนันอื่นๆ</t>
  </si>
  <si>
    <t>รวม</t>
  </si>
  <si>
    <t>2.ความผิดเกี่ยวกับยาเสพติด</t>
  </si>
  <si>
    <t xml:space="preserve">     2.1 ผลิต</t>
  </si>
  <si>
    <t xml:space="preserve">     2.2 นำเข้า</t>
  </si>
  <si>
    <t xml:space="preserve">     2.3 ส่งออก</t>
  </si>
  <si>
    <t xml:space="preserve">     2.4 จำหน่าย</t>
  </si>
  <si>
    <t xml:space="preserve">     2.5 ครอบครองเพื่อจำหน่าย</t>
  </si>
  <si>
    <t xml:space="preserve">     2.6 ครอบครอง</t>
  </si>
  <si>
    <t xml:space="preserve">     2.7 เสพยาเสพติด</t>
  </si>
  <si>
    <t>3.ความผิดเกี่ยวกับ พ.ร.บ.คนเข้าเมือง พ.ศ.2522</t>
  </si>
  <si>
    <t xml:space="preserve">     3.1 นำพาคนต่างด้าวเข้ามาในราชอาณาจักร</t>
  </si>
  <si>
    <t xml:space="preserve">     3.2 ช่วยเหลือซ่อนเร้นคนต่างด้าวให้พ้นการจับกุม</t>
  </si>
  <si>
    <t xml:space="preserve">     3.3 หลบหนีเข้าเมืองโดยผิดกฎหมาย</t>
  </si>
  <si>
    <t>4.ความผิดเกี่ยวกับอาวุธปืน</t>
  </si>
  <si>
    <t xml:space="preserve">     4.1 อาวุธปืนสงคราม</t>
  </si>
  <si>
    <t xml:space="preserve">     4.2 อาวุธปืนธรรมดา (ไม่มีทะเบียน)</t>
  </si>
  <si>
    <t xml:space="preserve">     4.3 อาวุธปืนธรรมดา (มีทะเบียน)</t>
  </si>
  <si>
    <t xml:space="preserve">     4.4 วัตถุระเบิด</t>
  </si>
  <si>
    <t xml:space="preserve">     4.5 เครื่องกระสุนปืน</t>
  </si>
  <si>
    <t>5.ความผิดเกี่วกับสถานบริการ</t>
  </si>
  <si>
    <t>6.จับกุมบุคคลตามหมายจับ</t>
  </si>
  <si>
    <t>คะแนน</t>
  </si>
  <si>
    <t xml:space="preserve">สถิติความผิดเกี่ยวกับอาชญากรรม, ความผิดเกี่ยวกับอาชญากรรมทางเทคโนโลยี และ จับกุมบุคคลตามหมายจับ </t>
  </si>
  <si>
    <t>บันทึกข้อมูลวันที่</t>
  </si>
  <si>
    <t>หน่วย</t>
  </si>
  <si>
    <t>อาชญากรรมทางเทคโนโลยี</t>
  </si>
  <si>
    <t>จับกุมบุคคลตามหมายจับ</t>
  </si>
  <si>
    <t>ผลการระดมกวาดล้างอาชญากรรมระหว่างวันที่ 23 - 30 ก.ย.2564</t>
  </si>
  <si>
    <t>1. อาชญากรรมทั่วไป (On Ground)</t>
  </si>
  <si>
    <t>2. อาชญากรรมทางเทคโนโลยี (On Line)</t>
  </si>
  <si>
    <t>3. จับกุมบุคคลตามหมายจับ</t>
  </si>
  <si>
    <t>3.จับกุมบุคคลตามหมายจับ</t>
  </si>
  <si>
    <t>ประเภทอาชญากรรม</t>
  </si>
  <si>
    <t>รวมอาชญากรรมทั่วไป</t>
  </si>
  <si>
    <t>2.1 การหลอกลวงออนไลน์ทางด้านการเงิน</t>
  </si>
  <si>
    <t>2.2 การหลอกลวงจำหน่ายสินค้าออนไลน์และสินค้าผิดกฎหมาย</t>
  </si>
  <si>
    <t>2.3 การเพยแพร่ข่าวปลอมและคดีความผิดตาม พ.ร.บ.คอมพิวเตอร์ฯ</t>
  </si>
  <si>
    <t>2.4 การล่วงละเมิดทางเพศต่อเด็ก หรือ สตรีทางอินเตอร์เน็ต และ ค้ามนุษย์</t>
  </si>
  <si>
    <t>5.การพนันออนไลน์ อาชญากรรมข้ามชาติ และอื่น ๆ</t>
  </si>
  <si>
    <t>รวมอาชญากรรมทางเทคโนโลยี</t>
  </si>
  <si>
    <t>วันที่รายงาน</t>
  </si>
  <si>
    <t>ALL</t>
  </si>
  <si>
    <t>บันทึกการจับกุม</t>
  </si>
  <si>
    <t>เลือกหน่วย</t>
  </si>
  <si>
    <t>เลือกวันที่บันทึกข้อมูล</t>
  </si>
  <si>
    <t>Auto date</t>
  </si>
  <si>
    <t>หมาย</t>
  </si>
  <si>
    <t>ภาพรวม ตร.</t>
  </si>
  <si>
    <t>แบบรายงานผลระดมกวาดล้างอาชญากรรมทางเทคโนโลยี</t>
  </si>
  <si>
    <t>30 ก.ย.64</t>
  </si>
  <si>
    <t>ความผิดเกี่ยวกับอาชญากรรมทางเทคโนโลยี</t>
  </si>
  <si>
    <t>1.การหลอกลวงออนไลน์ทางด้านการเงิน</t>
  </si>
  <si>
    <t xml:space="preserve">          1.1 การหลอกลวงโอนเงิน ( Scam หรือ Call Center)</t>
  </si>
  <si>
    <t xml:space="preserve">          1.2 การทำธุรกรรมทางธนาคารอิเล็กทรอนิกส์ ( E-Banking)</t>
  </si>
  <si>
    <t xml:space="preserve">          1.3 แชร่ลูกโซ่หลอกลวงให้ลงทุนทางออนไลน์</t>
  </si>
  <si>
    <t xml:space="preserve">          1.4 การหลอกลวงออนไลน์ทางด้านการเงิน</t>
  </si>
  <si>
    <t>2.การหลอกลวงจำหน่ายสินค้าออนไลน์และสินค้าผิดกฎหมาย</t>
  </si>
  <si>
    <t xml:space="preserve">          2.1 ยาเสพติด</t>
  </si>
  <si>
    <t xml:space="preserve">          2.2 อาวุธปืน</t>
  </si>
  <si>
    <t xml:space="preserve">          2.3 การหลอกลวงจำหน่ายสินค้าออนไลน์</t>
  </si>
  <si>
    <t xml:space="preserve">          2.4 การละเมิดลิขสิทธิ์</t>
  </si>
  <si>
    <t xml:space="preserve">          2.5 สินค้าไม่มีมาตรฐานผลิตภัณอุตสาหกรรม (มอก.)</t>
  </si>
  <si>
    <t xml:space="preserve">          2.6 สินค้าไม่มีเครื่องหมาย อย. ไม่ผ่านพิธีการศุลกากร</t>
  </si>
  <si>
    <t>3.การเพยแพร่ข่าวปลอมและคดีความผิดตาม พ.ร.บ.คอมพิวเตอร์ฯ</t>
  </si>
  <si>
    <t xml:space="preserve">          3.1 นำเข้าข้อมูลทางคอมพิวเตอร์อันเป็นเท็จ</t>
  </si>
  <si>
    <t xml:space="preserve">          3.2 เผยแพร่ข่าวปลอม (FAKE NEWS)</t>
  </si>
  <si>
    <t xml:space="preserve">          3.3 การเข้าถึงโดยมิชอบชื่งระบบและข้อมูลคอมพิวเตอร์ (UNAUTHORIZED ACCESS)</t>
  </si>
  <si>
    <t xml:space="preserve">          3.4  การเรียกค่าไถ่ทางคอมพิวเตอร์ (RANSOMWARE ATTACK)</t>
  </si>
  <si>
    <t>4.การล่วงละเมิดทางเพศต่อเด็ก หรือ สตรีทางอินเตอร์เน็ต และ ค้ามนุษย์</t>
  </si>
  <si>
    <t xml:space="preserve">          4.1 ใช้อินเตอร์เนตในการซื้อขายสื่อทางลามก</t>
  </si>
  <si>
    <t xml:space="preserve">          4.2 อนาจารเด็ก</t>
  </si>
  <si>
    <t xml:space="preserve">          4.3 บริการทางเพศ</t>
  </si>
  <si>
    <t xml:space="preserve">          4.4 การค้ามนุษย์</t>
  </si>
  <si>
    <t xml:space="preserve">          4.5 การบังคับใช้แรงงานหรือบริการ</t>
  </si>
  <si>
    <t xml:space="preserve">          5.1 การพนันออนไลน์</t>
  </si>
  <si>
    <t xml:space="preserve">          5.2 อาชญากรรมข้ามชาติ</t>
  </si>
  <si>
    <t xml:space="preserve">          5.3 อาชญากรรมทางเทคโนโลยีประเภทอื่น ๆ</t>
  </si>
  <si>
    <t xml:space="preserve">รวมทั้งหมด (ราย/คน=ข้อ 1 - 5 ) (คะแนน=ข้อ 1-6) </t>
  </si>
  <si>
    <t>สรุปผลระดมกวาดล้างอาชญากรรม ห้วงวันที่ 23 - 30 ก.ย.64</t>
  </si>
  <si>
    <t>ตาม ว.ตร. ด่วนที่สุด ที่ 0007.22/2870 ลง 23 ก.ย.64</t>
  </si>
  <si>
    <t>3.จับกุมบุคคลตามหมายจับ (จำนวนหมาย)</t>
  </si>
  <si>
    <t xml:space="preserve">รวมทั้งหมด </t>
  </si>
  <si>
    <t>ความผิดเกี่ยวกับอาชญากรรมทั่วไป</t>
  </si>
  <si>
    <t>รวมผลการจับกุมอาชญากรรมทางเทคโนโลยี</t>
  </si>
  <si>
    <t>อาชญากรรมทั่วไป</t>
  </si>
  <si>
    <t>คน</t>
  </si>
  <si>
    <t>จำนวน (หมาย)</t>
  </si>
  <si>
    <t>สอท.</t>
  </si>
  <si>
    <t>ปส.</t>
  </si>
  <si>
    <t>ทท.</t>
  </si>
  <si>
    <t>ตชด.</t>
  </si>
  <si>
    <t>สรุปคะแนนผลระดมกวาดล้างอาชญากรรม ห้วงวันที่ 23 - 30 ก.ย.64</t>
  </si>
  <si>
    <t>น.</t>
  </si>
  <si>
    <t>ก.</t>
  </si>
  <si>
    <t>-</t>
  </si>
  <si>
    <t>1.1 ความผิดเกี่ยวกับการพนัน</t>
  </si>
  <si>
    <t>1.3 ความผิดเกี่ยวกับ พ.ร.บ.คนเข้าเมือง พ.ศ.2522</t>
  </si>
  <si>
    <t>1.2 ความผิดเกี่ยวกับยาเสพติด</t>
  </si>
  <si>
    <t>1.4 ความผิดเกี่ยวกับอาวุธปืน</t>
  </si>
  <si>
    <t>2.5 การพนันออนไลน์ อาชญากรรมข้ามชาติ และอื่น ๆ</t>
  </si>
  <si>
    <t>1.5 ความผิดเกี่ยวกับสถานบริการ</t>
  </si>
  <si>
    <t>ห้วงวันที่ 23 - 30 ก.ย.64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</si>
</sst>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\ h:mm:ss"/>
    <numFmt numFmtId="165" formatCode="dmmmyyyy"/>
    <numFmt numFmtId="166" formatCode="0.0"/>
  </numFmts>
  <fonts count="92">
    <font>
      <sz val="10"/>
      <color rgb="FF000000"/>
      <name val="Arial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rgb="FF1A2F40"/>
      <name val="Arial"/>
      <family val="2"/>
    </font>
    <font>
      <b/>
      <sz val="10"/>
      <color rgb="FF1A2F40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1A2F4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14"/>
      <color theme="1"/>
      <name val="Arial"/>
      <family val="2"/>
    </font>
    <font>
      <b/>
      <sz val="12"/>
      <color rgb="FF3E5656"/>
      <name val="Arial"/>
      <family val="2"/>
    </font>
    <font>
      <sz val="8"/>
      <color rgb="FF000000"/>
      <name val="Arial"/>
      <family val="2"/>
    </font>
    <font>
      <sz val="8"/>
      <color rgb="FF000000"/>
      <name val="Inconsolata"/>
    </font>
    <font>
      <sz val="11"/>
      <color theme="1"/>
      <name val="Inconsolata"/>
    </font>
    <font>
      <sz val="10"/>
      <color theme="1"/>
      <name val="Arial"/>
      <family val="2"/>
    </font>
    <font>
      <sz val="10"/>
      <color theme="1"/>
      <name val="Inconsolata"/>
    </font>
    <font>
      <b/>
      <sz val="18"/>
      <color rgb="FF000000"/>
      <name val="Calibri"/>
      <family val="2"/>
    </font>
    <font>
      <sz val="18"/>
      <color rgb="FF000000"/>
      <name val="Calibri"/>
      <family val="2"/>
    </font>
    <font>
      <sz val="18"/>
      <color theme="1"/>
      <name val="Arial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rgb="FF1A2F40"/>
      <name val="Arial"/>
      <family val="2"/>
    </font>
    <font>
      <sz val="11"/>
      <color rgb="FFF7981D"/>
      <name val="Inconsolata"/>
    </font>
    <font>
      <b/>
      <sz val="8"/>
      <color rgb="FF1A2F4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22"/>
    </font>
    <font>
      <b/>
      <sz val="10"/>
      <name val="Arial"/>
      <family val="2"/>
      <charset val="222"/>
    </font>
    <font>
      <sz val="8"/>
      <name val="Calibri"/>
      <family val="2"/>
    </font>
    <font>
      <sz val="8"/>
      <name val="Arial"/>
      <family val="2"/>
      <charset val="222"/>
    </font>
    <font>
      <sz val="10"/>
      <name val="Arial"/>
      <family val="2"/>
      <charset val="222"/>
    </font>
    <font>
      <sz val="8"/>
      <name val="Inconsolata"/>
      <charset val="222"/>
    </font>
    <font>
      <b/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1A2F40"/>
      <name val="Verdana"/>
      <family val="2"/>
    </font>
    <font>
      <b/>
      <sz val="8"/>
      <color rgb="FF1A2F40"/>
      <name val="Verdana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b/>
      <sz val="14"/>
      <name val="Angsana New"/>
      <family val="1"/>
    </font>
    <font>
      <b/>
      <sz val="10"/>
      <color rgb="FFFFFF00"/>
      <name val="Arial"/>
      <family val="2"/>
    </font>
    <font>
      <sz val="10"/>
      <color rgb="FFFFFF00"/>
      <name val="Arial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sz val="18"/>
      <color rgb="FF000000"/>
      <name val="TH SarabunIT๙"/>
      <family val="2"/>
    </font>
    <font>
      <b/>
      <sz val="18"/>
      <color rgb="FF000000"/>
      <name val="TH SarabunIT๙"/>
      <family val="2"/>
    </font>
    <font>
      <b/>
      <sz val="18"/>
      <name val="TH SarabunIT๙"/>
      <family val="2"/>
    </font>
    <font>
      <sz val="18"/>
      <name val="TH SarabunIT๙"/>
      <family val="2"/>
    </font>
    <font>
      <b/>
      <sz val="18"/>
      <color rgb="FF1A2F40"/>
      <name val="TH SarabunIT๙"/>
      <family val="2"/>
    </font>
    <font>
      <sz val="18"/>
      <name val="TH SarabunPSK"/>
      <family val="2"/>
    </font>
    <font>
      <sz val="18"/>
      <color theme="1"/>
      <name val="TH SarabunPSK"/>
      <family val="2"/>
    </font>
    <font>
      <sz val="18"/>
      <color rgb="FF000000"/>
      <name val="TH SarabunPSK"/>
      <family val="2"/>
    </font>
    <font>
      <b/>
      <sz val="18"/>
      <color rgb="FF000000"/>
      <name val="TH SarabunPSK"/>
      <family val="2"/>
    </font>
    <font>
      <b/>
      <sz val="18"/>
      <name val="TH SarabunIT๙"/>
      <family val="2"/>
      <charset val="222"/>
    </font>
    <font>
      <b/>
      <sz val="18"/>
      <name val="TH SarabunPSK"/>
      <family val="2"/>
      <charset val="222"/>
    </font>
    <font>
      <b/>
      <sz val="18"/>
      <color rgb="FF000000"/>
      <name val="TH SarabunIT๙"/>
      <family val="2"/>
      <charset val="222"/>
    </font>
    <font>
      <b/>
      <sz val="18"/>
      <color theme="1"/>
      <name val="TH SarabunIT๙"/>
      <family val="2"/>
      <charset val="222"/>
    </font>
    <font>
      <b/>
      <sz val="18"/>
      <color rgb="FFFFFF00"/>
      <name val="TH SarabunPSK"/>
      <family val="2"/>
    </font>
    <font>
      <b/>
      <sz val="18"/>
      <color theme="1"/>
      <name val="TH SarabunPSK"/>
      <family val="2"/>
    </font>
    <font>
      <b/>
      <sz val="18"/>
      <color rgb="FF1A2F40"/>
      <name val="TH SarabunPSK"/>
      <family val="2"/>
    </font>
    <font>
      <sz val="18"/>
      <color rgb="FFFFFF00"/>
      <name val="TH SarabunPSK"/>
      <family val="2"/>
    </font>
    <font>
      <b/>
      <sz val="18"/>
      <name val="TH SarabunPSK"/>
      <family val="2"/>
    </font>
    <font>
      <b/>
      <sz val="10"/>
      <name val="Verdana"/>
      <family val="2"/>
      <charset val="222"/>
    </font>
    <font>
      <b/>
      <sz val="8"/>
      <name val="Verdana"/>
      <family val="2"/>
      <charset val="222"/>
    </font>
    <font>
      <sz val="18"/>
      <name val="TH SarabunPSK"/>
      <family val="2"/>
      <charset val="222"/>
    </font>
    <font>
      <b/>
      <sz val="22"/>
      <color rgb="FF000000"/>
      <name val="TH SarabunPSK"/>
      <family val="2"/>
    </font>
    <font>
      <b/>
      <sz val="22"/>
      <name val="TH SarabunPSK"/>
      <family val="2"/>
      <charset val="222"/>
    </font>
    <font>
      <sz val="22"/>
      <name val="TH SarabunPSK"/>
      <family val="2"/>
      <charset val="222"/>
    </font>
    <font>
      <b/>
      <sz val="16"/>
      <color rgb="FF000000"/>
      <name val="TH SarabunPSK"/>
      <family val="2"/>
    </font>
    <font>
      <b/>
      <sz val="20"/>
      <color rgb="FF000000"/>
      <name val="TH SarabunPSK"/>
      <family val="2"/>
    </font>
    <font>
      <b/>
      <sz val="18"/>
      <color rgb="FFFF0000"/>
      <name val="TH SarabunPSK"/>
      <family val="2"/>
    </font>
    <font>
      <b/>
      <sz val="18"/>
      <color rgb="FF00B050"/>
      <name val="TH SarabunPSK"/>
      <family val="2"/>
    </font>
    <font>
      <b/>
      <sz val="18"/>
      <color rgb="FFE55E43"/>
      <name val="TH SarabunPSK"/>
      <family val="2"/>
    </font>
    <font>
      <sz val="20"/>
      <color rgb="FF000000"/>
      <name val="TH SarabunPSK"/>
      <family val="2"/>
    </font>
  </fonts>
  <fills count="49">
    <fill>
      <patternFill patternType="none"/>
    </fill>
    <fill>
      <patternFill patternType="gray125"/>
    </fill>
    <fill>
      <patternFill patternType="solid">
        <fgColor rgb="FFEBEFF1"/>
        <bgColor rgb="FFEBEFF1"/>
      </patternFill>
    </fill>
    <fill>
      <patternFill patternType="solid">
        <fgColor rgb="FFFFFFFF"/>
        <bgColor rgb="FFFFFFFF"/>
      </patternFill>
    </fill>
    <fill>
      <patternFill patternType="solid">
        <fgColor rgb="FF78909C"/>
        <bgColor rgb="FF78909C"/>
      </patternFill>
    </fill>
    <fill>
      <patternFill patternType="solid">
        <fgColor rgb="FF5B95F9"/>
        <bgColor rgb="FF5B95F9"/>
      </patternFill>
    </fill>
    <fill>
      <patternFill patternType="solid">
        <fgColor rgb="FFF1C232"/>
        <bgColor rgb="FFF1C232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FFE599"/>
        <bgColor rgb="FFFFE599"/>
      </patternFill>
    </fill>
    <fill>
      <patternFill patternType="solid">
        <fgColor rgb="FF002060"/>
        <bgColor rgb="FFC9DAF8"/>
      </patternFill>
    </fill>
    <fill>
      <patternFill patternType="solid">
        <fgColor rgb="FF002060"/>
        <bgColor rgb="FFFFFFFF"/>
      </patternFill>
    </fill>
    <fill>
      <patternFill patternType="solid">
        <fgColor rgb="FF002060"/>
        <bgColor rgb="FFEBEFF1"/>
      </patternFill>
    </fill>
    <fill>
      <patternFill patternType="solid">
        <fgColor rgb="FFFF0000"/>
        <bgColor rgb="FF5B95F9"/>
      </patternFill>
    </fill>
    <fill>
      <patternFill patternType="solid">
        <fgColor theme="6" tint="0.59999389629810485"/>
        <bgColor rgb="FFEBEFF1"/>
      </patternFill>
    </fill>
    <fill>
      <patternFill patternType="solid">
        <fgColor rgb="FF00B0F0"/>
        <bgColor rgb="FFFFFFFF"/>
      </patternFill>
    </fill>
    <fill>
      <patternFill patternType="solid">
        <fgColor rgb="FF00B0F0"/>
        <bgColor rgb="FFEBEFF1"/>
      </patternFill>
    </fill>
    <fill>
      <patternFill patternType="solid">
        <fgColor rgb="FFFF0000"/>
        <bgColor rgb="FF9FC5E8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rgb="FFCFE2F3"/>
      </patternFill>
    </fill>
    <fill>
      <patternFill patternType="solid">
        <fgColor theme="6" tint="0.59999389629810485"/>
        <bgColor rgb="FFC9DAF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8"/>
        <bgColor theme="8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8"/>
      </patternFill>
    </fill>
    <fill>
      <patternFill patternType="solid">
        <fgColor theme="5" tint="0.59999389629810485"/>
        <bgColor rgb="FF78909C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5" tint="0.79998168889431442"/>
        <bgColor rgb="FFEBEFF1"/>
      </patternFill>
    </fill>
    <fill>
      <patternFill patternType="solid">
        <fgColor theme="2" tint="-0.249977111117893"/>
        <bgColor rgb="FFFFFFFF"/>
      </patternFill>
    </fill>
    <fill>
      <patternFill patternType="solid">
        <fgColor rgb="FF002060"/>
        <bgColor rgb="FF5B95F9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rgb="FFEBEFF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66FF33"/>
        <bgColor theme="8"/>
      </patternFill>
    </fill>
    <fill>
      <patternFill patternType="solid">
        <fgColor rgb="FF66FF33"/>
        <bgColor rgb="FFFFFFFF"/>
      </patternFill>
    </fill>
    <fill>
      <patternFill patternType="solid">
        <fgColor theme="6" tint="0.39997558519241921"/>
        <bgColor rgb="FF9FC5E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55E43"/>
        <bgColor indexed="64"/>
      </patternFill>
    </fill>
  </fills>
  <borders count="1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0">
    <xf numFmtId="0" fontId="0" fillId="0" borderId="0" xfId="0" applyFont="1" applyAlignment="1"/>
    <xf numFmtId="0" fontId="2" fillId="0" borderId="0" xfId="0" applyFont="1" applyAlignment="1"/>
    <xf numFmtId="0" fontId="5" fillId="0" borderId="0" xfId="0" applyFont="1" applyAlignment="1">
      <alignment vertical="center"/>
    </xf>
    <xf numFmtId="0" fontId="6" fillId="3" borderId="0" xfId="0" applyFont="1" applyFill="1" applyAlignment="1">
      <alignment horizontal="center"/>
    </xf>
    <xf numFmtId="165" fontId="8" fillId="3" borderId="0" xfId="0" applyNumberFormat="1" applyFont="1" applyFill="1" applyAlignment="1">
      <alignment horizontal="left"/>
    </xf>
    <xf numFmtId="0" fontId="9" fillId="0" borderId="0" xfId="0" applyFont="1"/>
    <xf numFmtId="0" fontId="9" fillId="0" borderId="0" xfId="0" applyFont="1" applyAlignment="1"/>
    <xf numFmtId="0" fontId="4" fillId="4" borderId="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3" borderId="10" xfId="0" applyFont="1" applyFill="1" applyBorder="1" applyAlignment="1"/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0" xfId="0" applyFont="1" applyAlignment="1"/>
    <xf numFmtId="0" fontId="1" fillId="3" borderId="15" xfId="0" applyFont="1" applyFill="1" applyBorder="1" applyAlignment="1"/>
    <xf numFmtId="0" fontId="14" fillId="0" borderId="0" xfId="0" applyFont="1" applyAlignment="1">
      <alignment horizontal="center"/>
    </xf>
    <xf numFmtId="0" fontId="12" fillId="2" borderId="16" xfId="0" applyFont="1" applyFill="1" applyBorder="1" applyAlignment="1">
      <alignment horizontal="right"/>
    </xf>
    <xf numFmtId="0" fontId="12" fillId="2" borderId="17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2" fillId="3" borderId="3" xfId="0" applyFont="1" applyFill="1" applyBorder="1" applyAlignment="1"/>
    <xf numFmtId="0" fontId="12" fillId="3" borderId="19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3" borderId="2" xfId="0" applyFont="1" applyFill="1" applyBorder="1" applyAlignment="1"/>
    <xf numFmtId="0" fontId="12" fillId="3" borderId="21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5" fillId="3" borderId="0" xfId="0" applyFont="1" applyFill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14" fontId="20" fillId="0" borderId="0" xfId="0" applyNumberFormat="1" applyFont="1" applyAlignment="1">
      <alignment horizontal="left" vertical="center" wrapText="1"/>
    </xf>
    <xf numFmtId="0" fontId="23" fillId="3" borderId="0" xfId="0" applyFont="1" applyFill="1" applyAlignment="1"/>
    <xf numFmtId="0" fontId="24" fillId="3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right" vertical="center"/>
    </xf>
    <xf numFmtId="0" fontId="24" fillId="3" borderId="2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right" vertical="center"/>
    </xf>
    <xf numFmtId="0" fontId="25" fillId="3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/>
    <xf numFmtId="0" fontId="2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13" fillId="6" borderId="1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66" fontId="24" fillId="2" borderId="1" xfId="0" applyNumberFormat="1" applyFont="1" applyFill="1" applyBorder="1" applyAlignment="1">
      <alignment horizontal="right" vertical="center"/>
    </xf>
    <xf numFmtId="166" fontId="24" fillId="2" borderId="28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/>
    </xf>
    <xf numFmtId="0" fontId="16" fillId="7" borderId="34" xfId="0" applyFont="1" applyFill="1" applyBorder="1" applyAlignment="1">
      <alignment horizontal="center" vertical="center"/>
    </xf>
    <xf numFmtId="0" fontId="17" fillId="7" borderId="35" xfId="0" applyFont="1" applyFill="1" applyBorder="1" applyAlignment="1">
      <alignment horizontal="center" vertical="center"/>
    </xf>
    <xf numFmtId="0" fontId="16" fillId="7" borderId="36" xfId="0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30" fillId="9" borderId="33" xfId="0" applyFont="1" applyFill="1" applyBorder="1" applyAlignment="1">
      <alignment vertical="center"/>
    </xf>
    <xf numFmtId="0" fontId="18" fillId="9" borderId="52" xfId="0" applyFont="1" applyFill="1" applyBorder="1" applyAlignment="1">
      <alignment horizontal="center" vertical="center"/>
    </xf>
    <xf numFmtId="0" fontId="18" fillId="9" borderId="9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/>
    <xf numFmtId="0" fontId="24" fillId="0" borderId="28" xfId="0" applyFont="1" applyBorder="1" applyAlignment="1"/>
    <xf numFmtId="0" fontId="25" fillId="3" borderId="28" xfId="0" applyFont="1" applyFill="1" applyBorder="1"/>
    <xf numFmtId="0" fontId="25" fillId="3" borderId="1" xfId="0" applyFont="1" applyFill="1" applyBorder="1"/>
    <xf numFmtId="0" fontId="24" fillId="0" borderId="1" xfId="0" applyFont="1" applyBorder="1"/>
    <xf numFmtId="0" fontId="25" fillId="3" borderId="1" xfId="0" applyFont="1" applyFill="1" applyBorder="1" applyAlignment="1"/>
    <xf numFmtId="0" fontId="25" fillId="3" borderId="1" xfId="0" applyFont="1" applyFill="1" applyBorder="1"/>
    <xf numFmtId="0" fontId="4" fillId="3" borderId="2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2" fillId="0" borderId="0" xfId="0" applyFont="1"/>
    <xf numFmtId="0" fontId="5" fillId="10" borderId="19" xfId="0" applyFont="1" applyFill="1" applyBorder="1" applyAlignment="1">
      <alignment horizontal="center"/>
    </xf>
    <xf numFmtId="0" fontId="5" fillId="10" borderId="48" xfId="0" applyFont="1" applyFill="1" applyBorder="1" applyAlignment="1">
      <alignment horizontal="center"/>
    </xf>
    <xf numFmtId="0" fontId="5" fillId="10" borderId="20" xfId="0" applyFont="1" applyFill="1" applyBorder="1" applyAlignment="1">
      <alignment horizontal="center"/>
    </xf>
    <xf numFmtId="164" fontId="2" fillId="0" borderId="0" xfId="0" applyNumberFormat="1" applyFont="1"/>
    <xf numFmtId="0" fontId="5" fillId="0" borderId="0" xfId="0" applyFont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3" borderId="10" xfId="0" applyFont="1" applyFill="1" applyBorder="1" applyAlignment="1"/>
    <xf numFmtId="0" fontId="24" fillId="3" borderId="39" xfId="0" applyFont="1" applyFill="1" applyBorder="1" applyAlignment="1">
      <alignment horizontal="center"/>
    </xf>
    <xf numFmtId="0" fontId="24" fillId="3" borderId="40" xfId="0" applyFont="1" applyFill="1" applyBorder="1" applyAlignment="1">
      <alignment horizontal="center"/>
    </xf>
    <xf numFmtId="0" fontId="24" fillId="3" borderId="15" xfId="0" applyFont="1" applyFill="1" applyBorder="1" applyAlignment="1"/>
    <xf numFmtId="0" fontId="24" fillId="3" borderId="13" xfId="0" applyFont="1" applyFill="1" applyBorder="1" applyAlignment="1">
      <alignment horizontal="center"/>
    </xf>
    <xf numFmtId="0" fontId="24" fillId="3" borderId="14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right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3" xfId="0" applyFont="1" applyFill="1" applyBorder="1" applyAlignment="1"/>
    <xf numFmtId="0" fontId="24" fillId="3" borderId="19" xfId="0" applyFont="1" applyFill="1" applyBorder="1" applyAlignment="1">
      <alignment horizontal="center"/>
    </xf>
    <xf numFmtId="0" fontId="24" fillId="3" borderId="20" xfId="0" applyFont="1" applyFill="1" applyBorder="1" applyAlignment="1">
      <alignment horizontal="center"/>
    </xf>
    <xf numFmtId="0" fontId="4" fillId="3" borderId="2" xfId="0" applyFont="1" applyFill="1" applyBorder="1" applyAlignment="1"/>
    <xf numFmtId="0" fontId="4" fillId="2" borderId="3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14" fontId="5" fillId="10" borderId="48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10" borderId="20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10" borderId="6" xfId="0" applyFont="1" applyFill="1" applyBorder="1" applyAlignment="1">
      <alignment horizontal="center"/>
    </xf>
    <xf numFmtId="0" fontId="24" fillId="3" borderId="24" xfId="0" applyFont="1" applyFill="1" applyBorder="1" applyAlignment="1">
      <alignment horizontal="center"/>
    </xf>
    <xf numFmtId="0" fontId="24" fillId="3" borderId="15" xfId="0" applyFont="1" applyFill="1" applyBorder="1" applyAlignment="1">
      <alignment horizontal="center"/>
    </xf>
    <xf numFmtId="166" fontId="4" fillId="2" borderId="17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166" fontId="4" fillId="2" borderId="19" xfId="0" applyNumberFormat="1" applyFont="1" applyFill="1" applyBorder="1" applyAlignment="1">
      <alignment horizontal="center" vertical="center"/>
    </xf>
    <xf numFmtId="14" fontId="33" fillId="3" borderId="0" xfId="0" applyNumberFormat="1" applyFont="1" applyFill="1"/>
    <xf numFmtId="0" fontId="1" fillId="11" borderId="51" xfId="0" applyFont="1" applyFill="1" applyBorder="1" applyAlignment="1">
      <alignment horizontal="center" vertical="center"/>
    </xf>
    <xf numFmtId="2" fontId="18" fillId="9" borderId="9" xfId="0" applyNumberFormat="1" applyFont="1" applyFill="1" applyBorder="1" applyAlignment="1">
      <alignment horizontal="center" vertical="center"/>
    </xf>
    <xf numFmtId="2" fontId="18" fillId="9" borderId="52" xfId="0" applyNumberFormat="1" applyFont="1" applyFill="1" applyBorder="1" applyAlignment="1">
      <alignment horizontal="center" vertical="center"/>
    </xf>
    <xf numFmtId="0" fontId="38" fillId="9" borderId="8" xfId="0" applyFont="1" applyFill="1" applyBorder="1" applyAlignment="1">
      <alignment horizontal="center" vertical="center"/>
    </xf>
    <xf numFmtId="0" fontId="38" fillId="9" borderId="50" xfId="0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36" fillId="0" borderId="0" xfId="0" applyFont="1" applyAlignment="1"/>
    <xf numFmtId="0" fontId="38" fillId="9" borderId="23" xfId="0" applyFont="1" applyFill="1" applyBorder="1" applyAlignment="1">
      <alignment horizontal="right" vertical="center"/>
    </xf>
    <xf numFmtId="0" fontId="38" fillId="9" borderId="6" xfId="0" applyFont="1" applyFill="1" applyBorder="1" applyAlignment="1">
      <alignment horizontal="center" vertical="center"/>
    </xf>
    <xf numFmtId="0" fontId="38" fillId="9" borderId="48" xfId="0" applyFont="1" applyFill="1" applyBorder="1" applyAlignment="1">
      <alignment horizontal="center" vertical="center"/>
    </xf>
    <xf numFmtId="0" fontId="38" fillId="9" borderId="49" xfId="0" applyFont="1" applyFill="1" applyBorder="1" applyAlignment="1">
      <alignment horizontal="center" vertical="center"/>
    </xf>
    <xf numFmtId="0" fontId="38" fillId="9" borderId="19" xfId="0" applyFont="1" applyFill="1" applyBorder="1" applyAlignment="1">
      <alignment horizontal="center" vertical="center"/>
    </xf>
    <xf numFmtId="0" fontId="38" fillId="9" borderId="20" xfId="0" applyFont="1" applyFill="1" applyBorder="1" applyAlignment="1">
      <alignment horizontal="center" vertical="center"/>
    </xf>
    <xf numFmtId="0" fontId="42" fillId="0" borderId="25" xfId="0" applyFont="1" applyBorder="1" applyAlignment="1">
      <alignment vertical="center"/>
    </xf>
    <xf numFmtId="0" fontId="38" fillId="0" borderId="37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8" fillId="0" borderId="63" xfId="0" applyFont="1" applyBorder="1" applyAlignment="1">
      <alignment horizontal="center" vertical="center"/>
    </xf>
    <xf numFmtId="0" fontId="38" fillId="0" borderId="0" xfId="0" applyFont="1" applyAlignment="1"/>
    <xf numFmtId="0" fontId="38" fillId="0" borderId="26" xfId="0" applyFont="1" applyBorder="1" applyAlignment="1">
      <alignment vertical="center"/>
    </xf>
    <xf numFmtId="0" fontId="38" fillId="0" borderId="29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166" fontId="38" fillId="0" borderId="41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166" fontId="38" fillId="0" borderId="14" xfId="0" applyNumberFormat="1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42" xfId="0" applyFont="1" applyBorder="1" applyAlignment="1">
      <alignment vertical="center"/>
    </xf>
    <xf numFmtId="0" fontId="38" fillId="0" borderId="43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8" fillId="0" borderId="45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43" fillId="8" borderId="23" xfId="0" applyFont="1" applyFill="1" applyBorder="1" applyAlignment="1">
      <alignment horizontal="right" vertical="center"/>
    </xf>
    <xf numFmtId="0" fontId="43" fillId="8" borderId="6" xfId="0" applyFont="1" applyFill="1" applyBorder="1" applyAlignment="1">
      <alignment horizontal="center" vertical="center"/>
    </xf>
    <xf numFmtId="0" fontId="43" fillId="8" borderId="48" xfId="0" applyFont="1" applyFill="1" applyBorder="1" applyAlignment="1">
      <alignment horizontal="center" vertical="center"/>
    </xf>
    <xf numFmtId="166" fontId="43" fillId="8" borderId="49" xfId="0" applyNumberFormat="1" applyFont="1" applyFill="1" applyBorder="1" applyAlignment="1">
      <alignment horizontal="center" vertical="center"/>
    </xf>
    <xf numFmtId="0" fontId="43" fillId="8" borderId="19" xfId="0" applyFont="1" applyFill="1" applyBorder="1" applyAlignment="1">
      <alignment horizontal="center" vertical="center"/>
    </xf>
    <xf numFmtId="166" fontId="43" fillId="8" borderId="2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4" fillId="0" borderId="0" xfId="0" applyFont="1" applyAlignment="1"/>
    <xf numFmtId="0" fontId="45" fillId="0" borderId="29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41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45" fillId="0" borderId="43" xfId="0" applyFont="1" applyBorder="1" applyAlignment="1">
      <alignment horizontal="center" vertical="center"/>
    </xf>
    <xf numFmtId="0" fontId="45" fillId="0" borderId="44" xfId="0" applyFon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/>
    </xf>
    <xf numFmtId="0" fontId="45" fillId="0" borderId="46" xfId="0" applyFont="1" applyBorder="1" applyAlignment="1">
      <alignment horizontal="center" vertical="center"/>
    </xf>
    <xf numFmtId="0" fontId="45" fillId="0" borderId="47" xfId="0" applyFont="1" applyBorder="1" applyAlignment="1">
      <alignment horizontal="center" vertical="center"/>
    </xf>
    <xf numFmtId="0" fontId="16" fillId="3" borderId="61" xfId="0" applyFont="1" applyFill="1" applyBorder="1" applyAlignment="1">
      <alignment horizontal="center"/>
    </xf>
    <xf numFmtId="0" fontId="17" fillId="3" borderId="57" xfId="0" applyFont="1" applyFill="1" applyBorder="1" applyAlignment="1">
      <alignment horizontal="center"/>
    </xf>
    <xf numFmtId="0" fontId="1" fillId="3" borderId="68" xfId="0" applyFont="1" applyFill="1" applyBorder="1" applyAlignment="1">
      <alignment horizontal="center"/>
    </xf>
    <xf numFmtId="0" fontId="12" fillId="13" borderId="11" xfId="0" applyFont="1" applyFill="1" applyBorder="1" applyAlignment="1">
      <alignment horizontal="center"/>
    </xf>
    <xf numFmtId="0" fontId="12" fillId="13" borderId="12" xfId="0" applyFont="1" applyFill="1" applyBorder="1" applyAlignment="1">
      <alignment horizontal="center"/>
    </xf>
    <xf numFmtId="0" fontId="16" fillId="13" borderId="10" xfId="0" applyFont="1" applyFill="1" applyBorder="1" applyAlignment="1">
      <alignment horizontal="center"/>
    </xf>
    <xf numFmtId="0" fontId="12" fillId="12" borderId="11" xfId="0" applyFont="1" applyFill="1" applyBorder="1" applyAlignment="1">
      <alignment horizontal="center"/>
    </xf>
    <xf numFmtId="0" fontId="12" fillId="12" borderId="12" xfId="0" applyFont="1" applyFill="1" applyBorder="1" applyAlignment="1">
      <alignment horizontal="center"/>
    </xf>
    <xf numFmtId="0" fontId="16" fillId="12" borderId="10" xfId="0" applyFont="1" applyFill="1" applyBorder="1" applyAlignment="1">
      <alignment horizontal="center"/>
    </xf>
    <xf numFmtId="0" fontId="12" fillId="12" borderId="10" xfId="0" applyFont="1" applyFill="1" applyBorder="1" applyAlignment="1">
      <alignment horizontal="center"/>
    </xf>
    <xf numFmtId="0" fontId="1" fillId="13" borderId="13" xfId="0" applyFont="1" applyFill="1" applyBorder="1" applyAlignment="1">
      <alignment horizontal="center"/>
    </xf>
    <xf numFmtId="0" fontId="1" fillId="13" borderId="14" xfId="0" applyFont="1" applyFill="1" applyBorder="1" applyAlignment="1">
      <alignment horizontal="center"/>
    </xf>
    <xf numFmtId="0" fontId="18" fillId="13" borderId="24" xfId="0" applyFont="1" applyFill="1" applyBorder="1" applyAlignment="1">
      <alignment horizontal="center"/>
    </xf>
    <xf numFmtId="0" fontId="1" fillId="12" borderId="13" xfId="0" applyFont="1" applyFill="1" applyBorder="1" applyAlignment="1">
      <alignment horizontal="center"/>
    </xf>
    <xf numFmtId="0" fontId="1" fillId="12" borderId="14" xfId="0" applyFont="1" applyFill="1" applyBorder="1" applyAlignment="1">
      <alignment horizontal="center"/>
    </xf>
    <xf numFmtId="0" fontId="18" fillId="12" borderId="24" xfId="0" applyFont="1" applyFill="1" applyBorder="1" applyAlignment="1">
      <alignment horizontal="center"/>
    </xf>
    <xf numFmtId="0" fontId="1" fillId="12" borderId="15" xfId="0" applyFont="1" applyFill="1" applyBorder="1" applyAlignment="1">
      <alignment horizontal="center"/>
    </xf>
    <xf numFmtId="0" fontId="1" fillId="12" borderId="68" xfId="0" applyFont="1" applyFill="1" applyBorder="1" applyAlignment="1">
      <alignment horizontal="center"/>
    </xf>
    <xf numFmtId="0" fontId="1" fillId="12" borderId="55" xfId="0" applyFont="1" applyFill="1" applyBorder="1" applyAlignment="1">
      <alignment horizontal="center"/>
    </xf>
    <xf numFmtId="0" fontId="12" fillId="3" borderId="70" xfId="0" applyFont="1" applyFill="1" applyBorder="1" applyAlignment="1"/>
    <xf numFmtId="0" fontId="48" fillId="0" borderId="0" xfId="0" applyFont="1" applyAlignment="1">
      <alignment horizontal="center"/>
    </xf>
    <xf numFmtId="0" fontId="47" fillId="0" borderId="0" xfId="0" applyFont="1" applyAlignment="1"/>
    <xf numFmtId="0" fontId="39" fillId="16" borderId="70" xfId="0" applyFont="1" applyFill="1" applyBorder="1" applyAlignment="1">
      <alignment vertical="center"/>
    </xf>
    <xf numFmtId="3" fontId="39" fillId="17" borderId="73" xfId="0" applyNumberFormat="1" applyFont="1" applyFill="1" applyBorder="1" applyAlignment="1">
      <alignment horizontal="center" vertical="center"/>
    </xf>
    <xf numFmtId="4" fontId="39" fillId="17" borderId="75" xfId="0" applyNumberFormat="1" applyFont="1" applyFill="1" applyBorder="1" applyAlignment="1">
      <alignment horizontal="center" vertical="center"/>
    </xf>
    <xf numFmtId="3" fontId="39" fillId="16" borderId="73" xfId="0" applyNumberFormat="1" applyFont="1" applyFill="1" applyBorder="1" applyAlignment="1">
      <alignment horizontal="center" vertical="center"/>
    </xf>
    <xf numFmtId="4" fontId="39" fillId="16" borderId="75" xfId="0" applyNumberFormat="1" applyFont="1" applyFill="1" applyBorder="1" applyAlignment="1">
      <alignment horizontal="center" vertical="center"/>
    </xf>
    <xf numFmtId="3" fontId="39" fillId="16" borderId="75" xfId="0" applyNumberFormat="1" applyFont="1" applyFill="1" applyBorder="1" applyAlignment="1">
      <alignment horizontal="center" vertical="center"/>
    </xf>
    <xf numFmtId="4" fontId="39" fillId="13" borderId="74" xfId="0" applyNumberFormat="1" applyFont="1" applyFill="1" applyBorder="1" applyAlignment="1">
      <alignment horizontal="center" vertical="center"/>
    </xf>
    <xf numFmtId="4" fontId="39" fillId="12" borderId="74" xfId="0" applyNumberFormat="1" applyFont="1" applyFill="1" applyBorder="1" applyAlignment="1">
      <alignment horizontal="center" vertical="center"/>
    </xf>
    <xf numFmtId="0" fontId="16" fillId="18" borderId="62" xfId="0" applyFont="1" applyFill="1" applyBorder="1" applyAlignment="1">
      <alignment horizontal="center" vertical="center"/>
    </xf>
    <xf numFmtId="0" fontId="17" fillId="18" borderId="53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/>
    </xf>
    <xf numFmtId="0" fontId="1" fillId="3" borderId="54" xfId="0" applyFont="1" applyFill="1" applyBorder="1" applyAlignment="1">
      <alignment horizontal="center"/>
    </xf>
    <xf numFmtId="0" fontId="1" fillId="3" borderId="76" xfId="0" applyFont="1" applyFill="1" applyBorder="1" applyAlignment="1">
      <alignment horizontal="center"/>
    </xf>
    <xf numFmtId="0" fontId="12" fillId="12" borderId="71" xfId="0" applyFont="1" applyFill="1" applyBorder="1" applyAlignment="1">
      <alignment horizontal="center"/>
    </xf>
    <xf numFmtId="0" fontId="12" fillId="12" borderId="72" xfId="0" applyFont="1" applyFill="1" applyBorder="1" applyAlignment="1">
      <alignment horizontal="center"/>
    </xf>
    <xf numFmtId="0" fontId="1" fillId="3" borderId="77" xfId="0" applyFont="1" applyFill="1" applyBorder="1" applyAlignment="1"/>
    <xf numFmtId="0" fontId="1" fillId="2" borderId="46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" fillId="2" borderId="77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1" fillId="3" borderId="77" xfId="0" applyFont="1" applyFill="1" applyBorder="1" applyAlignment="1">
      <alignment horizontal="center"/>
    </xf>
    <xf numFmtId="0" fontId="12" fillId="3" borderId="24" xfId="0" applyFont="1" applyFill="1" applyBorder="1" applyAlignment="1"/>
    <xf numFmtId="0" fontId="12" fillId="13" borderId="39" xfId="0" applyFont="1" applyFill="1" applyBorder="1" applyAlignment="1">
      <alignment horizontal="center"/>
    </xf>
    <xf numFmtId="0" fontId="12" fillId="13" borderId="40" xfId="0" applyFont="1" applyFill="1" applyBorder="1" applyAlignment="1">
      <alignment horizontal="center"/>
    </xf>
    <xf numFmtId="0" fontId="16" fillId="13" borderId="24" xfId="0" applyFont="1" applyFill="1" applyBorder="1" applyAlignment="1">
      <alignment horizontal="center"/>
    </xf>
    <xf numFmtId="0" fontId="12" fillId="12" borderId="39" xfId="0" applyFont="1" applyFill="1" applyBorder="1" applyAlignment="1">
      <alignment horizontal="center"/>
    </xf>
    <xf numFmtId="0" fontId="12" fillId="12" borderId="40" xfId="0" applyFont="1" applyFill="1" applyBorder="1" applyAlignment="1">
      <alignment horizontal="center"/>
    </xf>
    <xf numFmtId="0" fontId="16" fillId="12" borderId="24" xfId="0" applyFont="1" applyFill="1" applyBorder="1" applyAlignment="1">
      <alignment horizontal="center"/>
    </xf>
    <xf numFmtId="0" fontId="12" fillId="12" borderId="24" xfId="0" applyFont="1" applyFill="1" applyBorder="1" applyAlignment="1">
      <alignment horizontal="center"/>
    </xf>
    <xf numFmtId="0" fontId="48" fillId="15" borderId="79" xfId="0" applyFont="1" applyFill="1" applyBorder="1" applyAlignment="1">
      <alignment horizontal="center"/>
    </xf>
    <xf numFmtId="0" fontId="48" fillId="15" borderId="80" xfId="0" applyFont="1" applyFill="1" applyBorder="1" applyAlignment="1">
      <alignment horizontal="center"/>
    </xf>
    <xf numFmtId="2" fontId="48" fillId="15" borderId="81" xfId="0" applyNumberFormat="1" applyFont="1" applyFill="1" applyBorder="1" applyAlignment="1">
      <alignment horizontal="center" vertical="center"/>
    </xf>
    <xf numFmtId="0" fontId="48" fillId="15" borderId="56" xfId="0" applyFont="1" applyFill="1" applyBorder="1" applyAlignment="1">
      <alignment horizontal="center"/>
    </xf>
    <xf numFmtId="0" fontId="48" fillId="15" borderId="82" xfId="0" applyFont="1" applyFill="1" applyBorder="1" applyAlignment="1">
      <alignment horizontal="center"/>
    </xf>
    <xf numFmtId="2" fontId="48" fillId="15" borderId="83" xfId="0" applyNumberFormat="1" applyFont="1" applyFill="1" applyBorder="1" applyAlignment="1">
      <alignment horizontal="center" vertical="center"/>
    </xf>
    <xf numFmtId="2" fontId="48" fillId="15" borderId="79" xfId="0" applyNumberFormat="1" applyFont="1" applyFill="1" applyBorder="1" applyAlignment="1">
      <alignment horizontal="center" vertical="center"/>
    </xf>
    <xf numFmtId="0" fontId="48" fillId="15" borderId="81" xfId="0" applyFont="1" applyFill="1" applyBorder="1" applyAlignment="1">
      <alignment horizontal="center"/>
    </xf>
    <xf numFmtId="0" fontId="1" fillId="3" borderId="84" xfId="0" applyFont="1" applyFill="1" applyBorder="1" applyAlignment="1">
      <alignment horizontal="center"/>
    </xf>
    <xf numFmtId="0" fontId="1" fillId="3" borderId="85" xfId="0" applyFont="1" applyFill="1" applyBorder="1" applyAlignment="1">
      <alignment horizontal="center"/>
    </xf>
    <xf numFmtId="0" fontId="39" fillId="22" borderId="0" xfId="0" applyFont="1" applyFill="1" applyAlignment="1">
      <alignment horizontal="center" vertical="center"/>
    </xf>
    <xf numFmtId="0" fontId="39" fillId="23" borderId="0" xfId="0" applyFont="1" applyFill="1" applyAlignment="1">
      <alignment vertical="center"/>
    </xf>
    <xf numFmtId="0" fontId="39" fillId="2" borderId="16" xfId="0" applyFont="1" applyFill="1" applyBorder="1" applyAlignment="1">
      <alignment horizontal="right" vertical="center"/>
    </xf>
    <xf numFmtId="0" fontId="39" fillId="2" borderId="17" xfId="0" applyFont="1" applyFill="1" applyBorder="1" applyAlignment="1">
      <alignment horizontal="center" vertical="center"/>
    </xf>
    <xf numFmtId="0" fontId="39" fillId="2" borderId="18" xfId="0" applyFont="1" applyFill="1" applyBorder="1" applyAlignment="1">
      <alignment horizontal="center" vertical="center"/>
    </xf>
    <xf numFmtId="166" fontId="39" fillId="2" borderId="17" xfId="0" applyNumberFormat="1" applyFont="1" applyFill="1" applyBorder="1" applyAlignment="1">
      <alignment horizontal="center" vertical="center"/>
    </xf>
    <xf numFmtId="0" fontId="39" fillId="2" borderId="16" xfId="0" applyFont="1" applyFill="1" applyBorder="1" applyAlignment="1">
      <alignment horizontal="center" vertical="center"/>
    </xf>
    <xf numFmtId="166" fontId="39" fillId="2" borderId="16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9" fillId="2" borderId="73" xfId="0" applyFont="1" applyFill="1" applyBorder="1" applyAlignment="1">
      <alignment horizontal="center"/>
    </xf>
    <xf numFmtId="0" fontId="39" fillId="2" borderId="74" xfId="0" applyFont="1" applyFill="1" applyBorder="1" applyAlignment="1">
      <alignment horizontal="center"/>
    </xf>
    <xf numFmtId="0" fontId="39" fillId="2" borderId="70" xfId="0" applyFont="1" applyFill="1" applyBorder="1" applyAlignment="1">
      <alignment horizontal="right" vertical="center"/>
    </xf>
    <xf numFmtId="0" fontId="39" fillId="2" borderId="73" xfId="0" applyFont="1" applyFill="1" applyBorder="1" applyAlignment="1">
      <alignment horizontal="center" vertical="center"/>
    </xf>
    <xf numFmtId="0" fontId="39" fillId="2" borderId="74" xfId="0" applyFont="1" applyFill="1" applyBorder="1" applyAlignment="1">
      <alignment horizontal="center" vertical="center"/>
    </xf>
    <xf numFmtId="0" fontId="39" fillId="2" borderId="75" xfId="0" applyFont="1" applyFill="1" applyBorder="1" applyAlignment="1">
      <alignment horizontal="center" vertical="center"/>
    </xf>
    <xf numFmtId="0" fontId="39" fillId="3" borderId="0" xfId="0" applyFont="1" applyFill="1" applyAlignment="1">
      <alignment horizontal="center" vertical="center"/>
    </xf>
    <xf numFmtId="0" fontId="38" fillId="2" borderId="75" xfId="0" applyFont="1" applyFill="1" applyBorder="1" applyAlignment="1">
      <alignment horizontal="center"/>
    </xf>
    <xf numFmtId="0" fontId="39" fillId="3" borderId="73" xfId="0" applyFont="1" applyFill="1" applyBorder="1" applyAlignment="1">
      <alignment horizontal="center"/>
    </xf>
    <xf numFmtId="0" fontId="39" fillId="3" borderId="74" xfId="0" applyFont="1" applyFill="1" applyBorder="1" applyAlignment="1">
      <alignment horizontal="center"/>
    </xf>
    <xf numFmtId="0" fontId="38" fillId="3" borderId="75" xfId="0" applyFont="1" applyFill="1" applyBorder="1" applyAlignment="1">
      <alignment horizontal="center"/>
    </xf>
    <xf numFmtId="0" fontId="39" fillId="3" borderId="75" xfId="0" applyFont="1" applyFill="1" applyBorder="1" applyAlignment="1">
      <alignment horizontal="center"/>
    </xf>
    <xf numFmtId="0" fontId="50" fillId="3" borderId="0" xfId="0" applyFont="1" applyFill="1" applyAlignment="1">
      <alignment horizontal="center"/>
    </xf>
    <xf numFmtId="0" fontId="35" fillId="0" borderId="0" xfId="0" applyFont="1"/>
    <xf numFmtId="165" fontId="36" fillId="3" borderId="0" xfId="0" applyNumberFormat="1" applyFont="1" applyFill="1"/>
    <xf numFmtId="0" fontId="0" fillId="0" borderId="0" xfId="0"/>
    <xf numFmtId="0" fontId="53" fillId="0" borderId="0" xfId="0" applyFont="1" applyAlignment="1">
      <alignment horizontal="center" vertical="center"/>
    </xf>
    <xf numFmtId="0" fontId="54" fillId="2" borderId="35" xfId="0" applyFont="1" applyFill="1" applyBorder="1" applyAlignment="1">
      <alignment horizontal="center" vertical="center"/>
    </xf>
    <xf numFmtId="0" fontId="54" fillId="2" borderId="18" xfId="0" applyFont="1" applyFill="1" applyBorder="1" applyAlignment="1">
      <alignment horizontal="center" vertical="center"/>
    </xf>
    <xf numFmtId="0" fontId="39" fillId="3" borderId="23" xfId="0" applyFont="1" applyFill="1" applyBorder="1" applyAlignment="1">
      <alignment horizontal="center" vertical="center"/>
    </xf>
    <xf numFmtId="0" fontId="54" fillId="3" borderId="23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/>
    </xf>
    <xf numFmtId="0" fontId="54" fillId="2" borderId="23" xfId="0" applyFont="1" applyFill="1" applyBorder="1" applyAlignment="1">
      <alignment horizontal="center" vertical="center"/>
    </xf>
    <xf numFmtId="0" fontId="39" fillId="3" borderId="23" xfId="0" applyFont="1" applyFill="1" applyBorder="1" applyAlignment="1">
      <alignment horizontal="center"/>
    </xf>
    <xf numFmtId="0" fontId="54" fillId="0" borderId="0" xfId="0" applyFont="1" applyAlignment="1">
      <alignment horizontal="center" vertical="center"/>
    </xf>
    <xf numFmtId="0" fontId="49" fillId="3" borderId="10" xfId="0" applyFont="1" applyFill="1" applyBorder="1"/>
    <xf numFmtId="0" fontId="38" fillId="2" borderId="11" xfId="0" applyFont="1" applyFill="1" applyBorder="1" applyAlignment="1">
      <alignment horizontal="center" vertical="center"/>
    </xf>
    <xf numFmtId="0" fontId="38" fillId="2" borderId="88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38" fillId="3" borderId="23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6" fillId="2" borderId="23" xfId="0" applyFont="1" applyFill="1" applyBorder="1"/>
    <xf numFmtId="0" fontId="35" fillId="0" borderId="0" xfId="0" applyFont="1" applyAlignment="1">
      <alignment horizontal="center" vertical="center"/>
    </xf>
    <xf numFmtId="0" fontId="35" fillId="3" borderId="15" xfId="0" applyFont="1" applyFill="1" applyBorder="1"/>
    <xf numFmtId="0" fontId="35" fillId="2" borderId="13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horizontal="center" vertical="center"/>
    </xf>
    <xf numFmtId="0" fontId="35" fillId="3" borderId="23" xfId="0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/>
    </xf>
    <xf numFmtId="0" fontId="35" fillId="3" borderId="23" xfId="0" applyFont="1" applyFill="1" applyBorder="1" applyAlignment="1">
      <alignment horizontal="center"/>
    </xf>
    <xf numFmtId="0" fontId="35" fillId="2" borderId="23" xfId="0" applyFont="1" applyFill="1" applyBorder="1" applyAlignment="1">
      <alignment horizontal="center"/>
    </xf>
    <xf numFmtId="0" fontId="49" fillId="0" borderId="0" xfId="0" applyFont="1" applyAlignment="1">
      <alignment horizontal="center" vertical="center"/>
    </xf>
    <xf numFmtId="0" fontId="49" fillId="26" borderId="10" xfId="0" applyFont="1" applyFill="1" applyBorder="1"/>
    <xf numFmtId="0" fontId="39" fillId="2" borderId="11" xfId="0" applyFont="1" applyFill="1" applyBorder="1" applyAlignment="1">
      <alignment horizontal="center" vertical="center"/>
    </xf>
    <xf numFmtId="0" fontId="39" fillId="2" borderId="88" xfId="0" applyFont="1" applyFill="1" applyBorder="1" applyAlignment="1">
      <alignment horizontal="center" vertical="center"/>
    </xf>
    <xf numFmtId="0" fontId="39" fillId="2" borderId="12" xfId="0" applyFont="1" applyFill="1" applyBorder="1" applyAlignment="1">
      <alignment horizontal="center" vertical="center"/>
    </xf>
    <xf numFmtId="0" fontId="39" fillId="26" borderId="23" xfId="0" applyFont="1" applyFill="1" applyBorder="1" applyAlignment="1">
      <alignment horizontal="center" vertical="center"/>
    </xf>
    <xf numFmtId="0" fontId="35" fillId="26" borderId="15" xfId="0" applyFont="1" applyFill="1" applyBorder="1"/>
    <xf numFmtId="0" fontId="35" fillId="26" borderId="23" xfId="0" applyFont="1" applyFill="1" applyBorder="1" applyAlignment="1">
      <alignment horizontal="center" vertical="center"/>
    </xf>
    <xf numFmtId="0" fontId="49" fillId="26" borderId="24" xfId="0" applyFont="1" applyFill="1" applyBorder="1"/>
    <xf numFmtId="0" fontId="55" fillId="0" borderId="0" xfId="0" applyFont="1"/>
    <xf numFmtId="0" fontId="39" fillId="2" borderId="35" xfId="0" applyFont="1" applyFill="1" applyBorder="1" applyAlignment="1">
      <alignment horizontal="center" vertical="center"/>
    </xf>
    <xf numFmtId="0" fontId="36" fillId="0" borderId="0" xfId="0" applyFont="1"/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9" fillId="29" borderId="19" xfId="0" applyFont="1" applyFill="1" applyBorder="1" applyAlignment="1">
      <alignment horizontal="center" vertical="center"/>
    </xf>
    <xf numFmtId="0" fontId="39" fillId="29" borderId="49" xfId="0" applyFont="1" applyFill="1" applyBorder="1" applyAlignment="1">
      <alignment horizontal="center" vertical="center"/>
    </xf>
    <xf numFmtId="0" fontId="35" fillId="30" borderId="11" xfId="0" applyFont="1" applyFill="1" applyBorder="1" applyAlignment="1">
      <alignment horizontal="center" vertical="center"/>
    </xf>
    <xf numFmtId="0" fontId="38" fillId="30" borderId="87" xfId="0" applyFont="1" applyFill="1" applyBorder="1" applyAlignment="1">
      <alignment horizontal="center" vertical="center"/>
    </xf>
    <xf numFmtId="0" fontId="35" fillId="30" borderId="13" xfId="0" applyFont="1" applyFill="1" applyBorder="1" applyAlignment="1">
      <alignment horizontal="center" vertical="center"/>
    </xf>
    <xf numFmtId="0" fontId="35" fillId="30" borderId="41" xfId="0" applyFont="1" applyFill="1" applyBorder="1" applyAlignment="1">
      <alignment horizontal="center" vertical="center"/>
    </xf>
    <xf numFmtId="0" fontId="49" fillId="31" borderId="11" xfId="0" applyFont="1" applyFill="1" applyBorder="1" applyAlignment="1">
      <alignment horizontal="center" vertical="center"/>
    </xf>
    <xf numFmtId="0" fontId="39" fillId="31" borderId="87" xfId="0" applyFont="1" applyFill="1" applyBorder="1" applyAlignment="1">
      <alignment horizontal="center" vertical="center"/>
    </xf>
    <xf numFmtId="0" fontId="35" fillId="31" borderId="13" xfId="0" applyFont="1" applyFill="1" applyBorder="1" applyAlignment="1">
      <alignment horizontal="center" vertical="center"/>
    </xf>
    <xf numFmtId="0" fontId="35" fillId="31" borderId="41" xfId="0" applyFont="1" applyFill="1" applyBorder="1" applyAlignment="1">
      <alignment horizontal="center" vertical="center"/>
    </xf>
    <xf numFmtId="0" fontId="49" fillId="31" borderId="39" xfId="0" applyFont="1" applyFill="1" applyBorder="1" applyAlignment="1">
      <alignment horizontal="center" vertical="center"/>
    </xf>
    <xf numFmtId="0" fontId="39" fillId="31" borderId="38" xfId="0" applyFont="1" applyFill="1" applyBorder="1" applyAlignment="1">
      <alignment horizontal="center" vertical="center"/>
    </xf>
    <xf numFmtId="0" fontId="39" fillId="32" borderId="17" xfId="0" applyFont="1" applyFill="1" applyBorder="1" applyAlignment="1">
      <alignment horizontal="center" vertical="center"/>
    </xf>
    <xf numFmtId="0" fontId="39" fillId="32" borderId="36" xfId="0" applyFont="1" applyFill="1" applyBorder="1" applyAlignment="1">
      <alignment horizontal="center" vertical="center"/>
    </xf>
    <xf numFmtId="0" fontId="39" fillId="32" borderId="16" xfId="0" applyFont="1" applyFill="1" applyBorder="1" applyAlignment="1">
      <alignment horizontal="center" vertical="center"/>
    </xf>
    <xf numFmtId="0" fontId="39" fillId="32" borderId="16" xfId="0" applyFont="1" applyFill="1" applyBorder="1" applyAlignment="1">
      <alignment horizontal="center"/>
    </xf>
    <xf numFmtId="0" fontId="56" fillId="15" borderId="81" xfId="0" applyFont="1" applyFill="1" applyBorder="1" applyAlignment="1">
      <alignment horizontal="right"/>
    </xf>
    <xf numFmtId="0" fontId="0" fillId="0" borderId="0" xfId="0"/>
    <xf numFmtId="0" fontId="59" fillId="3" borderId="0" xfId="0" applyFont="1" applyFill="1" applyAlignment="1">
      <alignment horizontal="center"/>
    </xf>
    <xf numFmtId="0" fontId="60" fillId="0" borderId="0" xfId="0" applyFont="1" applyAlignment="1"/>
    <xf numFmtId="0" fontId="61" fillId="0" borderId="0" xfId="0" applyFont="1"/>
    <xf numFmtId="0" fontId="61" fillId="0" borderId="0" xfId="0" applyFont="1" applyAlignment="1"/>
    <xf numFmtId="0" fontId="18" fillId="9" borderId="8" xfId="0" applyFont="1" applyFill="1" applyBorder="1" applyAlignment="1">
      <alignment horizontal="center" vertical="center"/>
    </xf>
    <xf numFmtId="0" fontId="18" fillId="9" borderId="50" xfId="0" applyFont="1" applyFill="1" applyBorder="1" applyAlignment="1">
      <alignment horizontal="center" vertical="center"/>
    </xf>
    <xf numFmtId="0" fontId="62" fillId="0" borderId="0" xfId="0" applyFont="1" applyAlignment="1"/>
    <xf numFmtId="0" fontId="64" fillId="0" borderId="0" xfId="0" applyFont="1" applyAlignment="1">
      <alignment horizontal="center"/>
    </xf>
    <xf numFmtId="0" fontId="65" fillId="0" borderId="0" xfId="0" applyFont="1" applyAlignment="1"/>
    <xf numFmtId="0" fontId="64" fillId="7" borderId="34" xfId="0" applyFont="1" applyFill="1" applyBorder="1" applyAlignment="1">
      <alignment horizontal="center" vertical="center"/>
    </xf>
    <xf numFmtId="0" fontId="63" fillId="7" borderId="35" xfId="0" applyFont="1" applyFill="1" applyBorder="1" applyAlignment="1">
      <alignment horizontal="center" vertical="center"/>
    </xf>
    <xf numFmtId="0" fontId="64" fillId="7" borderId="36" xfId="0" applyFont="1" applyFill="1" applyBorder="1" applyAlignment="1">
      <alignment horizontal="center" vertical="center"/>
    </xf>
    <xf numFmtId="0" fontId="64" fillId="7" borderId="17" xfId="0" applyFont="1" applyFill="1" applyBorder="1" applyAlignment="1">
      <alignment horizontal="center" vertical="center"/>
    </xf>
    <xf numFmtId="0" fontId="64" fillId="7" borderId="18" xfId="0" applyFont="1" applyFill="1" applyBorder="1" applyAlignment="1">
      <alignment horizontal="center" vertical="center"/>
    </xf>
    <xf numFmtId="0" fontId="63" fillId="0" borderId="0" xfId="0" applyFont="1" applyAlignment="1">
      <alignment horizontal="center"/>
    </xf>
    <xf numFmtId="0" fontId="65" fillId="0" borderId="37" xfId="0" applyFont="1" applyBorder="1" applyAlignment="1">
      <alignment horizontal="center" vertical="center"/>
    </xf>
    <xf numFmtId="0" fontId="65" fillId="0" borderId="28" xfId="0" applyFont="1" applyBorder="1" applyAlignment="1">
      <alignment horizontal="center" vertical="center"/>
    </xf>
    <xf numFmtId="0" fontId="65" fillId="0" borderId="38" xfId="0" applyFont="1" applyBorder="1" applyAlignment="1">
      <alignment horizontal="center" vertical="center"/>
    </xf>
    <xf numFmtId="0" fontId="65" fillId="0" borderId="39" xfId="0" applyFont="1" applyBorder="1" applyAlignment="1">
      <alignment horizontal="center" vertical="center"/>
    </xf>
    <xf numFmtId="0" fontId="65" fillId="0" borderId="40" xfId="0" applyFont="1" applyBorder="1" applyAlignment="1">
      <alignment horizontal="center" vertical="center"/>
    </xf>
    <xf numFmtId="0" fontId="65" fillId="0" borderId="26" xfId="0" applyFont="1" applyBorder="1" applyAlignment="1">
      <alignment vertical="center"/>
    </xf>
    <xf numFmtId="0" fontId="65" fillId="0" borderId="29" xfId="0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166" fontId="65" fillId="0" borderId="41" xfId="0" applyNumberFormat="1" applyFont="1" applyBorder="1" applyAlignment="1">
      <alignment horizontal="center" vertical="center"/>
    </xf>
    <xf numFmtId="0" fontId="65" fillId="0" borderId="13" xfId="0" applyFont="1" applyBorder="1" applyAlignment="1">
      <alignment horizontal="center" vertical="center"/>
    </xf>
    <xf numFmtId="166" fontId="65" fillId="0" borderId="14" xfId="0" applyNumberFormat="1" applyFont="1" applyBorder="1" applyAlignment="1">
      <alignment horizontal="center" vertical="center"/>
    </xf>
    <xf numFmtId="0" fontId="65" fillId="0" borderId="41" xfId="0" applyFont="1" applyBorder="1" applyAlignment="1">
      <alignment horizontal="center" vertical="center"/>
    </xf>
    <xf numFmtId="0" fontId="65" fillId="0" borderId="14" xfId="0" applyFont="1" applyBorder="1" applyAlignment="1">
      <alignment horizontal="center" vertical="center"/>
    </xf>
    <xf numFmtId="0" fontId="65" fillId="0" borderId="42" xfId="0" applyFont="1" applyBorder="1" applyAlignment="1">
      <alignment vertical="center"/>
    </xf>
    <xf numFmtId="0" fontId="65" fillId="0" borderId="43" xfId="0" applyFont="1" applyBorder="1" applyAlignment="1">
      <alignment horizontal="center" vertical="center"/>
    </xf>
    <xf numFmtId="0" fontId="65" fillId="0" borderId="44" xfId="0" applyFont="1" applyBorder="1" applyAlignment="1">
      <alignment horizontal="center" vertical="center"/>
    </xf>
    <xf numFmtId="0" fontId="65" fillId="0" borderId="45" xfId="0" applyFont="1" applyBorder="1" applyAlignment="1">
      <alignment horizontal="center" vertical="center"/>
    </xf>
    <xf numFmtId="0" fontId="65" fillId="0" borderId="46" xfId="0" applyFont="1" applyBorder="1" applyAlignment="1">
      <alignment horizontal="center" vertical="center"/>
    </xf>
    <xf numFmtId="0" fontId="65" fillId="0" borderId="47" xfId="0" applyFont="1" applyBorder="1" applyAlignment="1">
      <alignment horizontal="center" vertical="center"/>
    </xf>
    <xf numFmtId="0" fontId="66" fillId="0" borderId="0" xfId="0" applyFont="1" applyAlignment="1">
      <alignment horizontal="center"/>
    </xf>
    <xf numFmtId="3" fontId="67" fillId="0" borderId="58" xfId="0" applyNumberFormat="1" applyFont="1" applyBorder="1" applyAlignment="1">
      <alignment horizontal="center" vertical="center"/>
    </xf>
    <xf numFmtId="3" fontId="68" fillId="11" borderId="65" xfId="0" applyNumberFormat="1" applyFont="1" applyFill="1" applyBorder="1" applyAlignment="1">
      <alignment horizontal="center" vertical="center"/>
    </xf>
    <xf numFmtId="0" fontId="71" fillId="8" borderId="23" xfId="0" applyFont="1" applyFill="1" applyBorder="1" applyAlignment="1">
      <alignment horizontal="right" vertical="center"/>
    </xf>
    <xf numFmtId="0" fontId="71" fillId="8" borderId="6" xfId="0" applyFont="1" applyFill="1" applyBorder="1" applyAlignment="1">
      <alignment horizontal="center" vertical="center"/>
    </xf>
    <xf numFmtId="0" fontId="71" fillId="8" borderId="48" xfId="0" applyFont="1" applyFill="1" applyBorder="1" applyAlignment="1">
      <alignment horizontal="center" vertical="center"/>
    </xf>
    <xf numFmtId="166" fontId="71" fillId="8" borderId="49" xfId="0" applyNumberFormat="1" applyFont="1" applyFill="1" applyBorder="1" applyAlignment="1">
      <alignment horizontal="center" vertical="center"/>
    </xf>
    <xf numFmtId="0" fontId="71" fillId="8" borderId="19" xfId="0" applyFont="1" applyFill="1" applyBorder="1" applyAlignment="1">
      <alignment horizontal="center" vertical="center"/>
    </xf>
    <xf numFmtId="166" fontId="71" fillId="8" borderId="20" xfId="0" applyNumberFormat="1" applyFont="1" applyFill="1" applyBorder="1" applyAlignment="1">
      <alignment horizontal="center" vertical="center"/>
    </xf>
    <xf numFmtId="3" fontId="72" fillId="20" borderId="64" xfId="0" applyNumberFormat="1" applyFont="1" applyFill="1" applyBorder="1" applyAlignment="1">
      <alignment horizontal="center" vertical="center"/>
    </xf>
    <xf numFmtId="0" fontId="71" fillId="9" borderId="23" xfId="0" applyFont="1" applyFill="1" applyBorder="1" applyAlignment="1">
      <alignment horizontal="right" vertical="center"/>
    </xf>
    <xf numFmtId="0" fontId="71" fillId="9" borderId="6" xfId="0" applyFont="1" applyFill="1" applyBorder="1" applyAlignment="1">
      <alignment horizontal="center" vertical="center"/>
    </xf>
    <xf numFmtId="0" fontId="71" fillId="9" borderId="48" xfId="0" applyFont="1" applyFill="1" applyBorder="1" applyAlignment="1">
      <alignment horizontal="center" vertical="center"/>
    </xf>
    <xf numFmtId="0" fontId="71" fillId="9" borderId="49" xfId="0" applyFont="1" applyFill="1" applyBorder="1" applyAlignment="1">
      <alignment horizontal="center" vertical="center"/>
    </xf>
    <xf numFmtId="0" fontId="71" fillId="9" borderId="19" xfId="0" applyFont="1" applyFill="1" applyBorder="1" applyAlignment="1">
      <alignment horizontal="center" vertical="center"/>
    </xf>
    <xf numFmtId="0" fontId="71" fillId="9" borderId="20" xfId="0" applyFont="1" applyFill="1" applyBorder="1" applyAlignment="1">
      <alignment horizontal="center" vertical="center"/>
    </xf>
    <xf numFmtId="3" fontId="72" fillId="21" borderId="64" xfId="0" applyNumberFormat="1" applyFont="1" applyFill="1" applyBorder="1" applyAlignment="1">
      <alignment horizontal="center" vertical="center"/>
    </xf>
    <xf numFmtId="0" fontId="73" fillId="9" borderId="33" xfId="0" applyFont="1" applyFill="1" applyBorder="1" applyAlignment="1">
      <alignment vertical="center"/>
    </xf>
    <xf numFmtId="0" fontId="71" fillId="9" borderId="50" xfId="0" applyFont="1" applyFill="1" applyBorder="1" applyAlignment="1">
      <alignment horizontal="center" vertical="center"/>
    </xf>
    <xf numFmtId="0" fontId="74" fillId="11" borderId="51" xfId="0" applyFont="1" applyFill="1" applyBorder="1" applyAlignment="1">
      <alignment horizontal="center" vertical="center"/>
    </xf>
    <xf numFmtId="2" fontId="71" fillId="9" borderId="52" xfId="0" applyNumberFormat="1" applyFont="1" applyFill="1" applyBorder="1" applyAlignment="1">
      <alignment horizontal="center" vertical="center"/>
    </xf>
    <xf numFmtId="0" fontId="71" fillId="9" borderId="8" xfId="0" applyFont="1" applyFill="1" applyBorder="1" applyAlignment="1">
      <alignment horizontal="center" vertical="center"/>
    </xf>
    <xf numFmtId="2" fontId="71" fillId="9" borderId="9" xfId="0" applyNumberFormat="1" applyFont="1" applyFill="1" applyBorder="1" applyAlignment="1">
      <alignment horizontal="center" vertical="center"/>
    </xf>
    <xf numFmtId="0" fontId="71" fillId="9" borderId="9" xfId="0" applyFont="1" applyFill="1" applyBorder="1" applyAlignment="1">
      <alignment horizontal="center" vertical="center"/>
    </xf>
    <xf numFmtId="0" fontId="71" fillId="9" borderId="52" xfId="0" applyFont="1" applyFill="1" applyBorder="1" applyAlignment="1">
      <alignment horizontal="center" vertical="center"/>
    </xf>
    <xf numFmtId="3" fontId="72" fillId="21" borderId="65" xfId="0" applyNumberFormat="1" applyFont="1" applyFill="1" applyBorder="1" applyAlignment="1">
      <alignment horizontal="center" vertical="center"/>
    </xf>
    <xf numFmtId="0" fontId="77" fillId="0" borderId="0" xfId="0" applyFont="1" applyAlignment="1">
      <alignment horizontal="center"/>
    </xf>
    <xf numFmtId="0" fontId="69" fillId="0" borderId="0" xfId="0" applyFont="1" applyAlignment="1"/>
    <xf numFmtId="0" fontId="79" fillId="2" borderId="8" xfId="0" applyFont="1" applyFill="1" applyBorder="1" applyAlignment="1">
      <alignment horizontal="center"/>
    </xf>
    <xf numFmtId="0" fontId="70" fillId="2" borderId="9" xfId="0" applyFont="1" applyFill="1" applyBorder="1" applyAlignment="1">
      <alignment horizontal="center"/>
    </xf>
    <xf numFmtId="0" fontId="79" fillId="2" borderId="3" xfId="0" applyFont="1" applyFill="1" applyBorder="1" applyAlignment="1">
      <alignment horizontal="center"/>
    </xf>
    <xf numFmtId="0" fontId="79" fillId="3" borderId="8" xfId="0" applyFont="1" applyFill="1" applyBorder="1" applyAlignment="1">
      <alignment horizontal="center"/>
    </xf>
    <xf numFmtId="0" fontId="70" fillId="3" borderId="9" xfId="0" applyFont="1" applyFill="1" applyBorder="1" applyAlignment="1">
      <alignment horizontal="center"/>
    </xf>
    <xf numFmtId="0" fontId="79" fillId="3" borderId="3" xfId="0" applyFont="1" applyFill="1" applyBorder="1" applyAlignment="1">
      <alignment horizontal="center"/>
    </xf>
    <xf numFmtId="0" fontId="79" fillId="3" borderId="7" xfId="0" applyFont="1" applyFill="1" applyBorder="1" applyAlignment="1">
      <alignment horizontal="center"/>
    </xf>
    <xf numFmtId="0" fontId="79" fillId="3" borderId="61" xfId="0" applyFont="1" applyFill="1" applyBorder="1" applyAlignment="1">
      <alignment horizontal="center"/>
    </xf>
    <xf numFmtId="0" fontId="70" fillId="3" borderId="57" xfId="0" applyFont="1" applyFill="1" applyBorder="1" applyAlignment="1">
      <alignment horizontal="center"/>
    </xf>
    <xf numFmtId="0" fontId="70" fillId="0" borderId="0" xfId="0" applyFont="1" applyAlignment="1">
      <alignment horizontal="center"/>
    </xf>
    <xf numFmtId="0" fontId="67" fillId="13" borderId="24" xfId="0" applyFont="1" applyFill="1" applyBorder="1" applyAlignment="1">
      <alignment horizontal="center"/>
    </xf>
    <xf numFmtId="0" fontId="67" fillId="12" borderId="24" xfId="0" applyFont="1" applyFill="1" applyBorder="1" applyAlignment="1">
      <alignment horizontal="center"/>
    </xf>
    <xf numFmtId="0" fontId="68" fillId="0" borderId="0" xfId="0" applyFont="1" applyAlignment="1"/>
    <xf numFmtId="0" fontId="67" fillId="2" borderId="15" xfId="0" applyFont="1" applyFill="1" applyBorder="1" applyAlignment="1">
      <alignment horizontal="center"/>
    </xf>
    <xf numFmtId="0" fontId="67" fillId="3" borderId="15" xfId="0" applyFont="1" applyFill="1" applyBorder="1" applyAlignment="1">
      <alignment horizontal="center"/>
    </xf>
    <xf numFmtId="0" fontId="79" fillId="2" borderId="16" xfId="0" applyFont="1" applyFill="1" applyBorder="1" applyAlignment="1">
      <alignment horizontal="right" vertical="center"/>
    </xf>
    <xf numFmtId="0" fontId="79" fillId="2" borderId="17" xfId="0" applyFont="1" applyFill="1" applyBorder="1" applyAlignment="1">
      <alignment horizontal="center" vertical="center"/>
    </xf>
    <xf numFmtId="0" fontId="79" fillId="2" borderId="18" xfId="0" applyFont="1" applyFill="1" applyBorder="1" applyAlignment="1">
      <alignment horizontal="center" vertical="center"/>
    </xf>
    <xf numFmtId="166" fontId="79" fillId="2" borderId="17" xfId="0" applyNumberFormat="1" applyFont="1" applyFill="1" applyBorder="1" applyAlignment="1">
      <alignment horizontal="center" vertical="center"/>
    </xf>
    <xf numFmtId="0" fontId="79" fillId="2" borderId="16" xfId="0" applyFont="1" applyFill="1" applyBorder="1" applyAlignment="1">
      <alignment horizontal="center" vertical="center"/>
    </xf>
    <xf numFmtId="166" fontId="79" fillId="2" borderId="16" xfId="0" applyNumberFormat="1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67" fillId="0" borderId="0" xfId="0" applyFont="1" applyAlignment="1">
      <alignment vertical="center"/>
    </xf>
    <xf numFmtId="0" fontId="79" fillId="13" borderId="10" xfId="0" applyFont="1" applyFill="1" applyBorder="1" applyAlignment="1">
      <alignment horizontal="center"/>
    </xf>
    <xf numFmtId="0" fontId="79" fillId="12" borderId="10" xfId="0" applyFont="1" applyFill="1" applyBorder="1" applyAlignment="1">
      <alignment horizontal="center"/>
    </xf>
    <xf numFmtId="0" fontId="79" fillId="2" borderId="70" xfId="0" applyFont="1" applyFill="1" applyBorder="1" applyAlignment="1">
      <alignment horizontal="right" vertical="center"/>
    </xf>
    <xf numFmtId="0" fontId="79" fillId="2" borderId="73" xfId="0" applyFont="1" applyFill="1" applyBorder="1" applyAlignment="1">
      <alignment horizontal="center" vertical="center"/>
    </xf>
    <xf numFmtId="0" fontId="79" fillId="2" borderId="74" xfId="0" applyFont="1" applyFill="1" applyBorder="1" applyAlignment="1">
      <alignment horizontal="center" vertical="center"/>
    </xf>
    <xf numFmtId="0" fontId="79" fillId="2" borderId="75" xfId="0" applyFont="1" applyFill="1" applyBorder="1" applyAlignment="1">
      <alignment horizontal="center" vertical="center"/>
    </xf>
    <xf numFmtId="0" fontId="79" fillId="3" borderId="0" xfId="0" applyFont="1" applyFill="1" applyAlignment="1">
      <alignment horizontal="center" vertical="center"/>
    </xf>
    <xf numFmtId="0" fontId="79" fillId="13" borderId="24" xfId="0" applyFont="1" applyFill="1" applyBorder="1" applyAlignment="1">
      <alignment horizontal="center"/>
    </xf>
    <xf numFmtId="0" fontId="79" fillId="12" borderId="24" xfId="0" applyFont="1" applyFill="1" applyBorder="1" applyAlignment="1">
      <alignment horizontal="center"/>
    </xf>
    <xf numFmtId="0" fontId="79" fillId="2" borderId="73" xfId="0" applyFont="1" applyFill="1" applyBorder="1" applyAlignment="1">
      <alignment horizontal="center"/>
    </xf>
    <xf numFmtId="0" fontId="79" fillId="2" borderId="74" xfId="0" applyFont="1" applyFill="1" applyBorder="1" applyAlignment="1">
      <alignment horizontal="center"/>
    </xf>
    <xf numFmtId="0" fontId="67" fillId="2" borderId="75" xfId="0" applyFont="1" applyFill="1" applyBorder="1" applyAlignment="1">
      <alignment horizontal="center"/>
    </xf>
    <xf numFmtId="0" fontId="79" fillId="3" borderId="73" xfId="0" applyFont="1" applyFill="1" applyBorder="1" applyAlignment="1">
      <alignment horizontal="center"/>
    </xf>
    <xf numFmtId="0" fontId="79" fillId="3" borderId="74" xfId="0" applyFont="1" applyFill="1" applyBorder="1" applyAlignment="1">
      <alignment horizontal="center"/>
    </xf>
    <xf numFmtId="0" fontId="67" fillId="3" borderId="75" xfId="0" applyFont="1" applyFill="1" applyBorder="1" applyAlignment="1">
      <alignment horizontal="center"/>
    </xf>
    <xf numFmtId="0" fontId="79" fillId="3" borderId="75" xfId="0" applyFont="1" applyFill="1" applyBorder="1" applyAlignment="1">
      <alignment horizontal="center"/>
    </xf>
    <xf numFmtId="0" fontId="79" fillId="15" borderId="81" xfId="0" applyFont="1" applyFill="1" applyBorder="1" applyAlignment="1">
      <alignment horizontal="right"/>
    </xf>
    <xf numFmtId="0" fontId="79" fillId="15" borderId="79" xfId="0" applyFont="1" applyFill="1" applyBorder="1" applyAlignment="1">
      <alignment horizontal="center"/>
    </xf>
    <xf numFmtId="0" fontId="79" fillId="15" borderId="80" xfId="0" applyFont="1" applyFill="1" applyBorder="1" applyAlignment="1">
      <alignment horizontal="center"/>
    </xf>
    <xf numFmtId="2" fontId="79" fillId="15" borderId="81" xfId="0" applyNumberFormat="1" applyFont="1" applyFill="1" applyBorder="1" applyAlignment="1">
      <alignment horizontal="center" vertical="center"/>
    </xf>
    <xf numFmtId="0" fontId="79" fillId="15" borderId="56" xfId="0" applyFont="1" applyFill="1" applyBorder="1" applyAlignment="1">
      <alignment horizontal="center"/>
    </xf>
    <xf numFmtId="0" fontId="79" fillId="15" borderId="82" xfId="0" applyFont="1" applyFill="1" applyBorder="1" applyAlignment="1">
      <alignment horizontal="center"/>
    </xf>
    <xf numFmtId="2" fontId="79" fillId="15" borderId="83" xfId="0" applyNumberFormat="1" applyFont="1" applyFill="1" applyBorder="1" applyAlignment="1">
      <alignment horizontal="center" vertical="center"/>
    </xf>
    <xf numFmtId="2" fontId="79" fillId="15" borderId="79" xfId="0" applyNumberFormat="1" applyFont="1" applyFill="1" applyBorder="1" applyAlignment="1">
      <alignment horizontal="center" vertical="center"/>
    </xf>
    <xf numFmtId="0" fontId="79" fillId="15" borderId="81" xfId="0" applyFont="1" applyFill="1" applyBorder="1" applyAlignment="1">
      <alignment horizontal="center"/>
    </xf>
    <xf numFmtId="0" fontId="79" fillId="0" borderId="0" xfId="0" applyFont="1" applyAlignment="1">
      <alignment horizontal="center"/>
    </xf>
    <xf numFmtId="0" fontId="67" fillId="0" borderId="0" xfId="0" applyFont="1" applyAlignment="1"/>
    <xf numFmtId="0" fontId="79" fillId="22" borderId="0" xfId="0" applyFont="1" applyFill="1" applyAlignment="1">
      <alignment horizontal="center" vertical="center"/>
    </xf>
    <xf numFmtId="0" fontId="79" fillId="23" borderId="0" xfId="0" applyFont="1" applyFill="1" applyAlignment="1">
      <alignment vertical="center"/>
    </xf>
    <xf numFmtId="0" fontId="68" fillId="0" borderId="0" xfId="0" applyFont="1" applyAlignment="1">
      <alignment horizontal="left"/>
    </xf>
    <xf numFmtId="0" fontId="68" fillId="0" borderId="0" xfId="0" applyFont="1"/>
    <xf numFmtId="3" fontId="79" fillId="2" borderId="70" xfId="0" applyNumberFormat="1" applyFont="1" applyFill="1" applyBorder="1" applyAlignment="1">
      <alignment horizontal="center" vertical="center"/>
    </xf>
    <xf numFmtId="3" fontId="79" fillId="2" borderId="53" xfId="0" applyNumberFormat="1" applyFont="1" applyFill="1" applyBorder="1" applyAlignment="1">
      <alignment horizontal="center" vertical="center"/>
    </xf>
    <xf numFmtId="3" fontId="79" fillId="3" borderId="70" xfId="0" applyNumberFormat="1" applyFont="1" applyFill="1" applyBorder="1" applyAlignment="1">
      <alignment horizontal="center"/>
    </xf>
    <xf numFmtId="3" fontId="79" fillId="3" borderId="53" xfId="0" applyNumberFormat="1" applyFont="1" applyFill="1" applyBorder="1" applyAlignment="1">
      <alignment horizontal="center"/>
    </xf>
    <xf numFmtId="3" fontId="79" fillId="24" borderId="70" xfId="0" applyNumberFormat="1" applyFont="1" applyFill="1" applyBorder="1" applyAlignment="1">
      <alignment horizontal="center"/>
    </xf>
    <xf numFmtId="3" fontId="79" fillId="24" borderId="53" xfId="0" applyNumberFormat="1" applyFont="1" applyFill="1" applyBorder="1" applyAlignment="1">
      <alignment horizontal="center"/>
    </xf>
    <xf numFmtId="0" fontId="79" fillId="3" borderId="10" xfId="0" applyFont="1" applyFill="1" applyBorder="1" applyAlignment="1"/>
    <xf numFmtId="0" fontId="67" fillId="13" borderId="13" xfId="0" applyFont="1" applyFill="1" applyBorder="1" applyAlignment="1">
      <alignment horizontal="center"/>
    </xf>
    <xf numFmtId="0" fontId="67" fillId="13" borderId="14" xfId="0" applyFont="1" applyFill="1" applyBorder="1" applyAlignment="1">
      <alignment horizontal="center"/>
    </xf>
    <xf numFmtId="0" fontId="67" fillId="12" borderId="13" xfId="0" applyFont="1" applyFill="1" applyBorder="1" applyAlignment="1">
      <alignment horizontal="center"/>
    </xf>
    <xf numFmtId="0" fontId="67" fillId="12" borderId="14" xfId="0" applyFont="1" applyFill="1" applyBorder="1" applyAlignment="1">
      <alignment horizontal="center"/>
    </xf>
    <xf numFmtId="0" fontId="67" fillId="12" borderId="15" xfId="0" applyFont="1" applyFill="1" applyBorder="1" applyAlignment="1">
      <alignment horizontal="center"/>
    </xf>
    <xf numFmtId="0" fontId="67" fillId="3" borderId="15" xfId="0" applyFont="1" applyFill="1" applyBorder="1" applyAlignment="1"/>
    <xf numFmtId="0" fontId="67" fillId="2" borderId="13" xfId="0" applyFont="1" applyFill="1" applyBorder="1" applyAlignment="1">
      <alignment horizontal="center"/>
    </xf>
    <xf numFmtId="0" fontId="67" fillId="2" borderId="14" xfId="0" applyFont="1" applyFill="1" applyBorder="1" applyAlignment="1">
      <alignment horizontal="center"/>
    </xf>
    <xf numFmtId="0" fontId="67" fillId="3" borderId="13" xfId="0" applyFont="1" applyFill="1" applyBorder="1" applyAlignment="1">
      <alignment horizontal="center"/>
    </xf>
    <xf numFmtId="0" fontId="67" fillId="3" borderId="14" xfId="0" applyFont="1" applyFill="1" applyBorder="1" applyAlignment="1">
      <alignment horizontal="center"/>
    </xf>
    <xf numFmtId="3" fontId="67" fillId="3" borderId="68" xfId="0" applyNumberFormat="1" applyFont="1" applyFill="1" applyBorder="1" applyAlignment="1">
      <alignment horizontal="center"/>
    </xf>
    <xf numFmtId="3" fontId="67" fillId="3" borderId="58" xfId="0" applyNumberFormat="1" applyFont="1" applyFill="1" applyBorder="1" applyAlignment="1">
      <alignment horizontal="center"/>
    </xf>
    <xf numFmtId="0" fontId="67" fillId="0" borderId="0" xfId="0" applyFont="1" applyAlignment="1">
      <alignment horizontal="center"/>
    </xf>
    <xf numFmtId="0" fontId="79" fillId="13" borderId="11" xfId="0" applyFont="1" applyFill="1" applyBorder="1" applyAlignment="1">
      <alignment horizontal="center"/>
    </xf>
    <xf numFmtId="0" fontId="79" fillId="13" borderId="12" xfId="0" applyFont="1" applyFill="1" applyBorder="1" applyAlignment="1">
      <alignment horizontal="center"/>
    </xf>
    <xf numFmtId="0" fontId="79" fillId="12" borderId="11" xfId="0" applyFont="1" applyFill="1" applyBorder="1" applyAlignment="1">
      <alignment horizontal="center"/>
    </xf>
    <xf numFmtId="0" fontId="79" fillId="12" borderId="12" xfId="0" applyFont="1" applyFill="1" applyBorder="1" applyAlignment="1">
      <alignment horizontal="center"/>
    </xf>
    <xf numFmtId="0" fontId="79" fillId="3" borderId="0" xfId="0" applyFont="1" applyFill="1" applyAlignment="1">
      <alignment horizontal="center"/>
    </xf>
    <xf numFmtId="3" fontId="67" fillId="3" borderId="54" xfId="0" applyNumberFormat="1" applyFont="1" applyFill="1" applyBorder="1" applyAlignment="1">
      <alignment horizontal="center"/>
    </xf>
    <xf numFmtId="3" fontId="67" fillId="3" borderId="76" xfId="0" applyNumberFormat="1" applyFont="1" applyFill="1" applyBorder="1" applyAlignment="1">
      <alignment horizontal="center"/>
    </xf>
    <xf numFmtId="0" fontId="67" fillId="3" borderId="0" xfId="0" applyFont="1" applyFill="1" applyAlignment="1">
      <alignment horizontal="center"/>
    </xf>
    <xf numFmtId="0" fontId="67" fillId="3" borderId="77" xfId="0" applyFont="1" applyFill="1" applyBorder="1" applyAlignment="1"/>
    <xf numFmtId="0" fontId="67" fillId="2" borderId="46" xfId="0" applyFont="1" applyFill="1" applyBorder="1" applyAlignment="1">
      <alignment horizontal="center"/>
    </xf>
    <xf numFmtId="0" fontId="67" fillId="2" borderId="47" xfId="0" applyFont="1" applyFill="1" applyBorder="1" applyAlignment="1">
      <alignment horizontal="center"/>
    </xf>
    <xf numFmtId="0" fontId="67" fillId="2" borderId="77" xfId="0" applyFont="1" applyFill="1" applyBorder="1" applyAlignment="1">
      <alignment horizontal="center"/>
    </xf>
    <xf numFmtId="0" fontId="67" fillId="3" borderId="46" xfId="0" applyFont="1" applyFill="1" applyBorder="1" applyAlignment="1">
      <alignment horizontal="center"/>
    </xf>
    <xf numFmtId="0" fontId="67" fillId="3" borderId="47" xfId="0" applyFont="1" applyFill="1" applyBorder="1" applyAlignment="1">
      <alignment horizontal="center"/>
    </xf>
    <xf numFmtId="0" fontId="67" fillId="3" borderId="77" xfId="0" applyFont="1" applyFill="1" applyBorder="1" applyAlignment="1">
      <alignment horizontal="center"/>
    </xf>
    <xf numFmtId="3" fontId="67" fillId="3" borderId="69" xfId="0" applyNumberFormat="1" applyFont="1" applyFill="1" applyBorder="1" applyAlignment="1">
      <alignment horizontal="center"/>
    </xf>
    <xf numFmtId="3" fontId="67" fillId="3" borderId="78" xfId="0" applyNumberFormat="1" applyFont="1" applyFill="1" applyBorder="1" applyAlignment="1">
      <alignment horizontal="center"/>
    </xf>
    <xf numFmtId="0" fontId="79" fillId="3" borderId="24" xfId="0" applyFont="1" applyFill="1" applyBorder="1" applyAlignment="1"/>
    <xf numFmtId="0" fontId="79" fillId="13" borderId="39" xfId="0" applyFont="1" applyFill="1" applyBorder="1" applyAlignment="1">
      <alignment horizontal="center"/>
    </xf>
    <xf numFmtId="0" fontId="79" fillId="13" borderId="40" xfId="0" applyFont="1" applyFill="1" applyBorder="1" applyAlignment="1">
      <alignment horizontal="center"/>
    </xf>
    <xf numFmtId="0" fontId="79" fillId="12" borderId="39" xfId="0" applyFont="1" applyFill="1" applyBorder="1" applyAlignment="1">
      <alignment horizontal="center"/>
    </xf>
    <xf numFmtId="0" fontId="79" fillId="12" borderId="40" xfId="0" applyFont="1" applyFill="1" applyBorder="1" applyAlignment="1">
      <alignment horizontal="center"/>
    </xf>
    <xf numFmtId="3" fontId="67" fillId="3" borderId="84" xfId="0" applyNumberFormat="1" applyFont="1" applyFill="1" applyBorder="1" applyAlignment="1">
      <alignment horizontal="center"/>
    </xf>
    <xf numFmtId="3" fontId="67" fillId="3" borderId="85" xfId="0" applyNumberFormat="1" applyFont="1" applyFill="1" applyBorder="1" applyAlignment="1">
      <alignment horizontal="center"/>
    </xf>
    <xf numFmtId="0" fontId="79" fillId="3" borderId="70" xfId="0" applyFont="1" applyFill="1" applyBorder="1" applyAlignment="1"/>
    <xf numFmtId="0" fontId="79" fillId="35" borderId="70" xfId="0" applyFont="1" applyFill="1" applyBorder="1" applyAlignment="1">
      <alignment vertical="center"/>
    </xf>
    <xf numFmtId="3" fontId="79" fillId="36" borderId="73" xfId="0" applyNumberFormat="1" applyFont="1" applyFill="1" applyBorder="1" applyAlignment="1">
      <alignment horizontal="center" vertical="center"/>
    </xf>
    <xf numFmtId="4" fontId="79" fillId="36" borderId="74" xfId="0" applyNumberFormat="1" applyFont="1" applyFill="1" applyBorder="1" applyAlignment="1">
      <alignment horizontal="center" vertical="center"/>
    </xf>
    <xf numFmtId="4" fontId="79" fillId="36" borderId="75" xfId="0" applyNumberFormat="1" applyFont="1" applyFill="1" applyBorder="1" applyAlignment="1">
      <alignment horizontal="center" vertical="center"/>
    </xf>
    <xf numFmtId="3" fontId="79" fillId="35" borderId="73" xfId="0" applyNumberFormat="1" applyFont="1" applyFill="1" applyBorder="1" applyAlignment="1">
      <alignment horizontal="center" vertical="center"/>
    </xf>
    <xf numFmtId="4" fontId="79" fillId="35" borderId="74" xfId="0" applyNumberFormat="1" applyFont="1" applyFill="1" applyBorder="1" applyAlignment="1">
      <alignment horizontal="center" vertical="center"/>
    </xf>
    <xf numFmtId="4" fontId="79" fillId="35" borderId="75" xfId="0" applyNumberFormat="1" applyFont="1" applyFill="1" applyBorder="1" applyAlignment="1">
      <alignment horizontal="center" vertical="center"/>
    </xf>
    <xf numFmtId="3" fontId="79" fillId="35" borderId="75" xfId="0" applyNumberFormat="1" applyFont="1" applyFill="1" applyBorder="1" applyAlignment="1">
      <alignment horizontal="center" vertical="center"/>
    </xf>
    <xf numFmtId="3" fontId="79" fillId="35" borderId="70" xfId="0" applyNumberFormat="1" applyFont="1" applyFill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3" fillId="0" borderId="0" xfId="0" applyFont="1"/>
    <xf numFmtId="0" fontId="40" fillId="2" borderId="34" xfId="0" applyFont="1" applyFill="1" applyBorder="1" applyAlignment="1">
      <alignment horizontal="center" vertical="center"/>
    </xf>
    <xf numFmtId="0" fontId="40" fillId="2" borderId="35" xfId="0" applyFont="1" applyFill="1" applyBorder="1" applyAlignment="1">
      <alignment horizontal="center" vertical="center"/>
    </xf>
    <xf numFmtId="0" fontId="40" fillId="2" borderId="18" xfId="0" applyFont="1" applyFill="1" applyBorder="1" applyAlignment="1">
      <alignment horizontal="center" vertical="center"/>
    </xf>
    <xf numFmtId="0" fontId="40" fillId="3" borderId="23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3" borderId="23" xfId="0" applyFont="1" applyFill="1" applyBorder="1" applyAlignment="1">
      <alignment horizontal="center"/>
    </xf>
    <xf numFmtId="0" fontId="40" fillId="0" borderId="0" xfId="0" applyFont="1" applyAlignment="1">
      <alignment horizontal="center" vertical="center"/>
    </xf>
    <xf numFmtId="0" fontId="43" fillId="2" borderId="31" xfId="0" applyFont="1" applyFill="1" applyBorder="1" applyAlignment="1">
      <alignment horizontal="center" vertical="center"/>
    </xf>
    <xf numFmtId="0" fontId="43" fillId="2" borderId="88" xfId="0" applyFont="1" applyFill="1" applyBorder="1" applyAlignment="1">
      <alignment horizontal="center" vertical="center"/>
    </xf>
    <xf numFmtId="0" fontId="43" fillId="2" borderId="12" xfId="0" applyFont="1" applyFill="1" applyBorder="1" applyAlignment="1">
      <alignment horizontal="center" vertical="center"/>
    </xf>
    <xf numFmtId="0" fontId="43" fillId="3" borderId="23" xfId="0" applyFont="1" applyFill="1" applyBorder="1" applyAlignment="1">
      <alignment horizontal="center" vertical="center"/>
    </xf>
    <xf numFmtId="0" fontId="43" fillId="2" borderId="23" xfId="0" applyFont="1" applyFill="1" applyBorder="1" applyAlignment="1">
      <alignment horizontal="center" vertical="center"/>
    </xf>
    <xf numFmtId="0" fontId="44" fillId="2" borderId="23" xfId="0" applyFont="1" applyFill="1" applyBorder="1"/>
    <xf numFmtId="0" fontId="43" fillId="0" borderId="0" xfId="0" applyFont="1" applyAlignment="1">
      <alignment horizontal="center" vertical="center"/>
    </xf>
    <xf numFmtId="0" fontId="43" fillId="2" borderId="29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horizontal="center" vertical="center"/>
    </xf>
    <xf numFmtId="0" fontId="43" fillId="3" borderId="23" xfId="0" applyFont="1" applyFill="1" applyBorder="1" applyAlignment="1">
      <alignment horizontal="center"/>
    </xf>
    <xf numFmtId="0" fontId="43" fillId="2" borderId="23" xfId="0" applyFont="1" applyFill="1" applyBorder="1" applyAlignment="1">
      <alignment horizontal="center"/>
    </xf>
    <xf numFmtId="0" fontId="44" fillId="0" borderId="0" xfId="0" applyFont="1"/>
    <xf numFmtId="0" fontId="40" fillId="2" borderId="31" xfId="0" applyFont="1" applyFill="1" applyBorder="1" applyAlignment="1">
      <alignment horizontal="center" vertical="center"/>
    </xf>
    <xf numFmtId="0" fontId="40" fillId="2" borderId="88" xfId="0" applyFont="1" applyFill="1" applyBorder="1" applyAlignment="1">
      <alignment horizontal="center" vertical="center"/>
    </xf>
    <xf numFmtId="0" fontId="40" fillId="2" borderId="12" xfId="0" applyFont="1" applyFill="1" applyBorder="1" applyAlignment="1">
      <alignment horizontal="center" vertical="center"/>
    </xf>
    <xf numFmtId="0" fontId="40" fillId="26" borderId="23" xfId="0" applyFont="1" applyFill="1" applyBorder="1" applyAlignment="1">
      <alignment horizontal="center" vertical="center"/>
    </xf>
    <xf numFmtId="0" fontId="43" fillId="26" borderId="23" xfId="0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70" fillId="3" borderId="0" xfId="0" applyFont="1" applyFill="1" applyAlignment="1">
      <alignment horizontal="center" vertical="center"/>
    </xf>
    <xf numFmtId="0" fontId="68" fillId="0" borderId="0" xfId="0" applyFont="1" applyAlignment="1">
      <alignment vertical="center"/>
    </xf>
    <xf numFmtId="165" fontId="67" fillId="3" borderId="0" xfId="0" applyNumberFormat="1" applyFont="1" applyFill="1" applyAlignment="1">
      <alignment vertical="center"/>
    </xf>
    <xf numFmtId="0" fontId="67" fillId="33" borderId="68" xfId="0" applyFont="1" applyFill="1" applyBorder="1" applyAlignment="1">
      <alignment horizontal="center"/>
    </xf>
    <xf numFmtId="0" fontId="67" fillId="33" borderId="55" xfId="0" applyFont="1" applyFill="1" applyBorder="1" applyAlignment="1">
      <alignment horizontal="center"/>
    </xf>
    <xf numFmtId="3" fontId="79" fillId="33" borderId="71" xfId="0" applyNumberFormat="1" applyFont="1" applyFill="1" applyBorder="1" applyAlignment="1">
      <alignment horizontal="center"/>
    </xf>
    <xf numFmtId="3" fontId="79" fillId="33" borderId="72" xfId="0" applyNumberFormat="1" applyFont="1" applyFill="1" applyBorder="1" applyAlignment="1">
      <alignment horizontal="center"/>
    </xf>
    <xf numFmtId="3" fontId="79" fillId="33" borderId="53" xfId="0" applyNumberFormat="1" applyFont="1" applyFill="1" applyBorder="1" applyAlignment="1">
      <alignment horizontal="center"/>
    </xf>
    <xf numFmtId="0" fontId="65" fillId="37" borderId="63" xfId="0" applyFont="1" applyFill="1" applyBorder="1" applyAlignment="1">
      <alignment horizontal="center" vertical="center"/>
    </xf>
    <xf numFmtId="3" fontId="67" fillId="37" borderId="63" xfId="0" applyNumberFormat="1" applyFont="1" applyFill="1" applyBorder="1" applyAlignment="1">
      <alignment horizontal="center" vertical="center"/>
    </xf>
    <xf numFmtId="0" fontId="64" fillId="0" borderId="25" xfId="0" applyFont="1" applyBorder="1" applyAlignment="1">
      <alignment vertical="center"/>
    </xf>
    <xf numFmtId="0" fontId="72" fillId="3" borderId="93" xfId="0" applyFont="1" applyFill="1" applyBorder="1"/>
    <xf numFmtId="0" fontId="82" fillId="30" borderId="11" xfId="0" applyFont="1" applyFill="1" applyBorder="1" applyAlignment="1">
      <alignment horizontal="center" vertical="center"/>
    </xf>
    <xf numFmtId="0" fontId="82" fillId="30" borderId="94" xfId="0" applyFont="1" applyFill="1" applyBorder="1" applyAlignment="1">
      <alignment horizontal="center" vertical="center"/>
    </xf>
    <xf numFmtId="0" fontId="82" fillId="3" borderId="68" xfId="0" applyFont="1" applyFill="1" applyBorder="1"/>
    <xf numFmtId="0" fontId="82" fillId="30" borderId="13" xfId="0" applyFont="1" applyFill="1" applyBorder="1" applyAlignment="1">
      <alignment horizontal="center" vertical="center"/>
    </xf>
    <xf numFmtId="0" fontId="82" fillId="30" borderId="55" xfId="0" applyFont="1" applyFill="1" applyBorder="1" applyAlignment="1">
      <alignment horizontal="center" vertical="center"/>
    </xf>
    <xf numFmtId="0" fontId="72" fillId="32" borderId="95" xfId="0" applyFont="1" applyFill="1" applyBorder="1" applyAlignment="1">
      <alignment horizontal="center"/>
    </xf>
    <xf numFmtId="0" fontId="72" fillId="32" borderId="17" xfId="0" applyFont="1" applyFill="1" applyBorder="1" applyAlignment="1">
      <alignment horizontal="center" vertical="center"/>
    </xf>
    <xf numFmtId="0" fontId="72" fillId="32" borderId="96" xfId="0" applyFont="1" applyFill="1" applyBorder="1" applyAlignment="1">
      <alignment horizontal="center" vertical="center"/>
    </xf>
    <xf numFmtId="0" fontId="72" fillId="26" borderId="93" xfId="0" applyFont="1" applyFill="1" applyBorder="1"/>
    <xf numFmtId="0" fontId="72" fillId="31" borderId="11" xfId="0" applyFont="1" applyFill="1" applyBorder="1" applyAlignment="1">
      <alignment horizontal="center" vertical="center"/>
    </xf>
    <xf numFmtId="0" fontId="72" fillId="31" borderId="94" xfId="0" applyFont="1" applyFill="1" applyBorder="1" applyAlignment="1">
      <alignment horizontal="center" vertical="center"/>
    </xf>
    <xf numFmtId="0" fontId="82" fillId="26" borderId="68" xfId="0" applyFont="1" applyFill="1" applyBorder="1"/>
    <xf numFmtId="0" fontId="82" fillId="31" borderId="13" xfId="0" applyFont="1" applyFill="1" applyBorder="1" applyAlignment="1">
      <alignment horizontal="center" vertical="center"/>
    </xf>
    <xf numFmtId="0" fontId="82" fillId="31" borderId="55" xfId="0" applyFont="1" applyFill="1" applyBorder="1" applyAlignment="1">
      <alignment horizontal="center" vertical="center"/>
    </xf>
    <xf numFmtId="0" fontId="72" fillId="32" borderId="95" xfId="0" applyFont="1" applyFill="1" applyBorder="1" applyAlignment="1">
      <alignment horizontal="center" vertical="center"/>
    </xf>
    <xf numFmtId="0" fontId="72" fillId="26" borderId="97" xfId="0" applyFont="1" applyFill="1" applyBorder="1"/>
    <xf numFmtId="0" fontId="72" fillId="31" borderId="39" xfId="0" applyFont="1" applyFill="1" applyBorder="1" applyAlignment="1">
      <alignment horizontal="center" vertical="center"/>
    </xf>
    <xf numFmtId="0" fontId="72" fillId="31" borderId="98" xfId="0" applyFont="1" applyFill="1" applyBorder="1" applyAlignment="1">
      <alignment horizontal="center" vertical="center"/>
    </xf>
    <xf numFmtId="0" fontId="72" fillId="32" borderId="84" xfId="0" applyFont="1" applyFill="1" applyBorder="1" applyAlignment="1">
      <alignment horizontal="center" vertical="center"/>
    </xf>
    <xf numFmtId="0" fontId="72" fillId="32" borderId="99" xfId="0" applyFont="1" applyFill="1" applyBorder="1" applyAlignment="1">
      <alignment horizontal="center" vertical="center"/>
    </xf>
    <xf numFmtId="0" fontId="72" fillId="32" borderId="100" xfId="0" applyFont="1" applyFill="1" applyBorder="1" applyAlignment="1">
      <alignment horizontal="center" vertical="center"/>
    </xf>
    <xf numFmtId="0" fontId="83" fillId="39" borderId="70" xfId="0" applyFont="1" applyFill="1" applyBorder="1" applyAlignment="1">
      <alignment horizontal="center" vertical="center"/>
    </xf>
    <xf numFmtId="0" fontId="83" fillId="39" borderId="53" xfId="0" applyFont="1" applyFill="1" applyBorder="1" applyAlignment="1">
      <alignment horizontal="center" vertical="center"/>
    </xf>
    <xf numFmtId="0" fontId="72" fillId="29" borderId="19" xfId="0" applyFont="1" applyFill="1" applyBorder="1" applyAlignment="1">
      <alignment horizontal="center" vertical="center"/>
    </xf>
    <xf numFmtId="0" fontId="72" fillId="29" borderId="92" xfId="0" applyFont="1" applyFill="1" applyBorder="1" applyAlignment="1">
      <alignment horizontal="center" vertical="center"/>
    </xf>
    <xf numFmtId="3" fontId="1" fillId="3" borderId="68" xfId="0" applyNumberFormat="1" applyFont="1" applyFill="1" applyBorder="1" applyAlignment="1">
      <alignment horizontal="center"/>
    </xf>
    <xf numFmtId="3" fontId="1" fillId="3" borderId="58" xfId="0" applyNumberFormat="1" applyFont="1" applyFill="1" applyBorder="1" applyAlignment="1">
      <alignment horizontal="center"/>
    </xf>
    <xf numFmtId="3" fontId="39" fillId="2" borderId="70" xfId="0" applyNumberFormat="1" applyFont="1" applyFill="1" applyBorder="1" applyAlignment="1">
      <alignment horizontal="center" vertical="center"/>
    </xf>
    <xf numFmtId="3" fontId="39" fillId="2" borderId="53" xfId="0" applyNumberFormat="1" applyFont="1" applyFill="1" applyBorder="1" applyAlignment="1">
      <alignment horizontal="center" vertical="center"/>
    </xf>
    <xf numFmtId="3" fontId="1" fillId="3" borderId="69" xfId="0" applyNumberFormat="1" applyFont="1" applyFill="1" applyBorder="1" applyAlignment="1">
      <alignment horizontal="center"/>
    </xf>
    <xf numFmtId="3" fontId="1" fillId="3" borderId="78" xfId="0" applyNumberFormat="1" applyFont="1" applyFill="1" applyBorder="1" applyAlignment="1">
      <alignment horizontal="center"/>
    </xf>
    <xf numFmtId="3" fontId="39" fillId="3" borderId="70" xfId="0" applyNumberFormat="1" applyFont="1" applyFill="1" applyBorder="1" applyAlignment="1">
      <alignment horizontal="center"/>
    </xf>
    <xf numFmtId="3" fontId="39" fillId="3" borderId="53" xfId="0" applyNumberFormat="1" applyFont="1" applyFill="1" applyBorder="1" applyAlignment="1">
      <alignment horizontal="center"/>
    </xf>
    <xf numFmtId="3" fontId="39" fillId="24" borderId="70" xfId="0" applyNumberFormat="1" applyFont="1" applyFill="1" applyBorder="1" applyAlignment="1">
      <alignment horizontal="center"/>
    </xf>
    <xf numFmtId="3" fontId="39" fillId="24" borderId="53" xfId="0" applyNumberFormat="1" applyFont="1" applyFill="1" applyBorder="1" applyAlignment="1">
      <alignment horizontal="center"/>
    </xf>
    <xf numFmtId="3" fontId="39" fillId="16" borderId="70" xfId="0" applyNumberFormat="1" applyFont="1" applyFill="1" applyBorder="1" applyAlignment="1">
      <alignment horizontal="center" vertical="center"/>
    </xf>
    <xf numFmtId="3" fontId="12" fillId="12" borderId="53" xfId="0" applyNumberFormat="1" applyFont="1" applyFill="1" applyBorder="1" applyAlignment="1">
      <alignment horizontal="center"/>
    </xf>
    <xf numFmtId="3" fontId="38" fillId="0" borderId="58" xfId="0" applyNumberFormat="1" applyFont="1" applyBorder="1" applyAlignment="1">
      <alignment horizontal="center" vertical="center"/>
    </xf>
    <xf numFmtId="3" fontId="43" fillId="20" borderId="64" xfId="0" applyNumberFormat="1" applyFont="1" applyFill="1" applyBorder="1" applyAlignment="1">
      <alignment horizontal="center" vertical="center"/>
    </xf>
    <xf numFmtId="3" fontId="38" fillId="0" borderId="63" xfId="0" applyNumberFormat="1" applyFont="1" applyBorder="1" applyAlignment="1">
      <alignment horizontal="center" vertical="center"/>
    </xf>
    <xf numFmtId="3" fontId="38" fillId="21" borderId="64" xfId="0" applyNumberFormat="1" applyFont="1" applyFill="1" applyBorder="1" applyAlignment="1">
      <alignment horizontal="center" vertical="center"/>
    </xf>
    <xf numFmtId="3" fontId="38" fillId="21" borderId="65" xfId="0" applyNumberFormat="1" applyFont="1" applyFill="1" applyBorder="1" applyAlignment="1">
      <alignment horizontal="center" vertical="center"/>
    </xf>
    <xf numFmtId="3" fontId="35" fillId="11" borderId="65" xfId="0" applyNumberFormat="1" applyFont="1" applyFill="1" applyBorder="1" applyAlignment="1">
      <alignment horizontal="center" vertical="center"/>
    </xf>
    <xf numFmtId="0" fontId="64" fillId="42" borderId="62" xfId="0" applyFont="1" applyFill="1" applyBorder="1" applyAlignment="1">
      <alignment horizontal="center" vertical="center"/>
    </xf>
    <xf numFmtId="0" fontId="63" fillId="42" borderId="53" xfId="0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2" fontId="43" fillId="8" borderId="49" xfId="0" applyNumberFormat="1" applyFont="1" applyFill="1" applyBorder="1" applyAlignment="1">
      <alignment horizontal="center" vertical="center"/>
    </xf>
    <xf numFmtId="3" fontId="69" fillId="0" borderId="106" xfId="0" applyNumberFormat="1" applyFont="1" applyBorder="1" applyAlignment="1">
      <alignment horizontal="center" vertical="center"/>
    </xf>
    <xf numFmtId="3" fontId="69" fillId="0" borderId="107" xfId="0" applyNumberFormat="1" applyFont="1" applyBorder="1" applyAlignment="1">
      <alignment horizontal="center" vertical="center"/>
    </xf>
    <xf numFmtId="3" fontId="69" fillId="0" borderId="108" xfId="0" applyNumberFormat="1" applyFont="1" applyBorder="1" applyAlignment="1">
      <alignment horizontal="center" vertical="center"/>
    </xf>
    <xf numFmtId="3" fontId="69" fillId="0" borderId="109" xfId="0" applyNumberFormat="1" applyFont="1" applyBorder="1" applyAlignment="1">
      <alignment horizontal="center" vertical="center"/>
    </xf>
    <xf numFmtId="4" fontId="69" fillId="0" borderId="109" xfId="0" applyNumberFormat="1" applyFont="1" applyBorder="1" applyAlignment="1">
      <alignment horizontal="center" vertical="center"/>
    </xf>
    <xf numFmtId="4" fontId="69" fillId="0" borderId="107" xfId="0" applyNumberFormat="1" applyFont="1" applyBorder="1" applyAlignment="1">
      <alignment horizontal="center" vertical="center"/>
    </xf>
    <xf numFmtId="4" fontId="69" fillId="0" borderId="108" xfId="0" applyNumberFormat="1" applyFont="1" applyBorder="1" applyAlignment="1">
      <alignment horizontal="center" vertical="center"/>
    </xf>
    <xf numFmtId="3" fontId="69" fillId="0" borderId="110" xfId="0" applyNumberFormat="1" applyFont="1" applyBorder="1" applyAlignment="1">
      <alignment horizontal="center" vertical="center"/>
    </xf>
    <xf numFmtId="3" fontId="69" fillId="0" borderId="111" xfId="0" applyNumberFormat="1" applyFont="1" applyBorder="1" applyAlignment="1">
      <alignment horizontal="center" vertical="center"/>
    </xf>
    <xf numFmtId="4" fontId="69" fillId="0" borderId="110" xfId="0" applyNumberFormat="1" applyFont="1" applyBorder="1" applyAlignment="1">
      <alignment horizontal="center" vertical="center"/>
    </xf>
    <xf numFmtId="4" fontId="69" fillId="0" borderId="106" xfId="0" applyNumberFormat="1" applyFont="1" applyBorder="1" applyAlignment="1">
      <alignment horizontal="center" vertical="center"/>
    </xf>
    <xf numFmtId="4" fontId="69" fillId="0" borderId="111" xfId="0" applyNumberFormat="1" applyFont="1" applyBorder="1" applyAlignment="1">
      <alignment horizontal="center" vertical="center"/>
    </xf>
    <xf numFmtId="0" fontId="70" fillId="45" borderId="0" xfId="0" applyFont="1" applyFill="1" applyBorder="1" applyAlignment="1">
      <alignment horizontal="center" vertical="center"/>
    </xf>
    <xf numFmtId="0" fontId="70" fillId="45" borderId="103" xfId="0" applyFont="1" applyFill="1" applyBorder="1" applyAlignment="1">
      <alignment horizontal="center" vertical="center"/>
    </xf>
    <xf numFmtId="0" fontId="86" fillId="45" borderId="103" xfId="0" applyFont="1" applyFill="1" applyBorder="1" applyAlignment="1">
      <alignment horizontal="center" vertical="center"/>
    </xf>
    <xf numFmtId="2" fontId="43" fillId="8" borderId="20" xfId="0" applyNumberFormat="1" applyFont="1" applyFill="1" applyBorder="1" applyAlignment="1">
      <alignment horizontal="center" vertical="center"/>
    </xf>
    <xf numFmtId="0" fontId="70" fillId="47" borderId="91" xfId="0" applyFont="1" applyFill="1" applyBorder="1" applyAlignment="1">
      <alignment horizontal="center" vertical="center"/>
    </xf>
    <xf numFmtId="0" fontId="70" fillId="47" borderId="0" xfId="0" applyFont="1" applyFill="1" applyBorder="1" applyAlignment="1">
      <alignment horizontal="center" vertical="center"/>
    </xf>
    <xf numFmtId="0" fontId="70" fillId="47" borderId="105" xfId="0" applyFont="1" applyFill="1" applyBorder="1" applyAlignment="1">
      <alignment horizontal="center" vertical="center"/>
    </xf>
    <xf numFmtId="0" fontId="87" fillId="48" borderId="103" xfId="0" applyFont="1" applyFill="1" applyBorder="1" applyAlignment="1">
      <alignment horizontal="center" vertical="center"/>
    </xf>
    <xf numFmtId="0" fontId="87" fillId="48" borderId="104" xfId="0" applyFont="1" applyFill="1" applyBorder="1" applyAlignment="1">
      <alignment horizontal="center" vertical="center"/>
    </xf>
    <xf numFmtId="4" fontId="88" fillId="0" borderId="107" xfId="0" applyNumberFormat="1" applyFont="1" applyBorder="1" applyAlignment="1">
      <alignment horizontal="center" vertical="center"/>
    </xf>
    <xf numFmtId="4" fontId="89" fillId="0" borderId="107" xfId="0" applyNumberFormat="1" applyFont="1" applyBorder="1" applyAlignment="1">
      <alignment horizontal="center" vertical="center"/>
    </xf>
    <xf numFmtId="4" fontId="90" fillId="0" borderId="107" xfId="0" applyNumberFormat="1" applyFont="1" applyBorder="1" applyAlignment="1">
      <alignment horizontal="center" vertical="center"/>
    </xf>
    <xf numFmtId="0" fontId="69" fillId="0" borderId="109" xfId="0" applyFont="1" applyBorder="1" applyAlignment="1">
      <alignment horizontal="center" vertical="center"/>
    </xf>
    <xf numFmtId="0" fontId="69" fillId="0" borderId="107" xfId="0" applyFont="1" applyBorder="1" applyAlignment="1">
      <alignment horizontal="center" vertical="center"/>
    </xf>
    <xf numFmtId="0" fontId="69" fillId="0" borderId="108" xfId="0" applyFont="1" applyBorder="1" applyAlignment="1">
      <alignment horizontal="center" vertical="center"/>
    </xf>
    <xf numFmtId="4" fontId="67" fillId="0" borderId="107" xfId="0" applyNumberFormat="1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/>
    </xf>
    <xf numFmtId="0" fontId="3" fillId="4" borderId="4" xfId="0" applyFont="1" applyFill="1" applyBorder="1"/>
    <xf numFmtId="0" fontId="10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3" fillId="4" borderId="6" xfId="0" applyFont="1" applyFill="1" applyBorder="1"/>
    <xf numFmtId="0" fontId="4" fillId="4" borderId="3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0" fillId="0" borderId="0" xfId="0" applyFont="1" applyAlignment="1"/>
    <xf numFmtId="165" fontId="7" fillId="3" borderId="0" xfId="0" applyNumberFormat="1" applyFont="1" applyFill="1" applyAlignment="1">
      <alignment horizontal="left"/>
    </xf>
    <xf numFmtId="0" fontId="4" fillId="4" borderId="2" xfId="0" applyFont="1" applyFill="1" applyBorder="1" applyAlignment="1">
      <alignment horizontal="center" vertical="center"/>
    </xf>
    <xf numFmtId="0" fontId="3" fillId="3" borderId="7" xfId="0" applyFont="1" applyFill="1" applyBorder="1"/>
    <xf numFmtId="0" fontId="31" fillId="7" borderId="27" xfId="0" applyFont="1" applyFill="1" applyBorder="1" applyAlignment="1">
      <alignment horizontal="center" vertical="center"/>
    </xf>
    <xf numFmtId="0" fontId="3" fillId="0" borderId="33" xfId="0" applyFont="1" applyBorder="1"/>
    <xf numFmtId="0" fontId="39" fillId="7" borderId="30" xfId="0" applyFont="1" applyFill="1" applyBorder="1" applyAlignment="1">
      <alignment horizontal="center" vertical="center"/>
    </xf>
    <xf numFmtId="0" fontId="36" fillId="0" borderId="30" xfId="0" applyFont="1" applyBorder="1"/>
    <xf numFmtId="0" fontId="36" fillId="0" borderId="31" xfId="0" applyFont="1" applyBorder="1"/>
    <xf numFmtId="0" fontId="39" fillId="7" borderId="10" xfId="0" applyFont="1" applyFill="1" applyBorder="1" applyAlignment="1">
      <alignment horizontal="center" vertical="center"/>
    </xf>
    <xf numFmtId="0" fontId="36" fillId="0" borderId="32" xfId="0" applyFont="1" applyBorder="1"/>
    <xf numFmtId="0" fontId="40" fillId="18" borderId="59" xfId="0" applyFont="1" applyFill="1" applyBorder="1" applyAlignment="1">
      <alignment horizontal="center" vertical="center"/>
    </xf>
    <xf numFmtId="0" fontId="41" fillId="19" borderId="60" xfId="0" applyFont="1" applyFill="1" applyBorder="1"/>
    <xf numFmtId="0" fontId="59" fillId="3" borderId="0" xfId="0" applyFont="1" applyFill="1" applyAlignment="1">
      <alignment horizontal="right"/>
    </xf>
    <xf numFmtId="0" fontId="60" fillId="0" borderId="0" xfId="0" applyFont="1" applyAlignment="1"/>
    <xf numFmtId="165" fontId="59" fillId="3" borderId="0" xfId="0" applyNumberFormat="1" applyFont="1" applyFill="1" applyAlignment="1">
      <alignment horizontal="left"/>
    </xf>
    <xf numFmtId="0" fontId="87" fillId="0" borderId="0" xfId="0" applyFont="1" applyAlignment="1">
      <alignment horizontal="center" vertical="center"/>
    </xf>
    <xf numFmtId="0" fontId="91" fillId="0" borderId="0" xfId="0" applyFont="1" applyAlignment="1">
      <alignment horizontal="center" vertical="center"/>
    </xf>
    <xf numFmtId="0" fontId="70" fillId="43" borderId="101" xfId="0" applyFont="1" applyFill="1" applyBorder="1" applyAlignment="1">
      <alignment horizontal="center" vertical="center"/>
    </xf>
    <xf numFmtId="0" fontId="70" fillId="43" borderId="102" xfId="0" applyFont="1" applyFill="1" applyBorder="1" applyAlignment="1">
      <alignment horizontal="center" vertical="center"/>
    </xf>
    <xf numFmtId="0" fontId="70" fillId="43" borderId="103" xfId="0" applyFont="1" applyFill="1" applyBorder="1" applyAlignment="1">
      <alignment horizontal="center" vertical="center"/>
    </xf>
    <xf numFmtId="0" fontId="70" fillId="43" borderId="104" xfId="0" applyFont="1" applyFill="1" applyBorder="1" applyAlignment="1">
      <alignment horizontal="center" vertical="center"/>
    </xf>
    <xf numFmtId="0" fontId="70" fillId="44" borderId="70" xfId="0" applyFont="1" applyFill="1" applyBorder="1" applyAlignment="1">
      <alignment horizontal="center" vertical="center"/>
    </xf>
    <xf numFmtId="0" fontId="70" fillId="44" borderId="101" xfId="0" applyFont="1" applyFill="1" applyBorder="1" applyAlignment="1">
      <alignment horizontal="center" vertical="center"/>
    </xf>
    <xf numFmtId="0" fontId="70" fillId="44" borderId="102" xfId="0" applyFont="1" applyFill="1" applyBorder="1" applyAlignment="1">
      <alignment horizontal="center" vertical="center"/>
    </xf>
    <xf numFmtId="0" fontId="70" fillId="46" borderId="70" xfId="0" applyFont="1" applyFill="1" applyBorder="1" applyAlignment="1">
      <alignment horizontal="center" vertical="center"/>
    </xf>
    <xf numFmtId="0" fontId="70" fillId="46" borderId="102" xfId="0" applyFont="1" applyFill="1" applyBorder="1" applyAlignment="1">
      <alignment horizontal="center" vertical="center"/>
    </xf>
    <xf numFmtId="0" fontId="34" fillId="14" borderId="66" xfId="0" applyFont="1" applyFill="1" applyBorder="1" applyAlignment="1">
      <alignment horizontal="center"/>
    </xf>
    <xf numFmtId="0" fontId="3" fillId="14" borderId="67" xfId="0" applyFont="1" applyFill="1" applyBorder="1"/>
    <xf numFmtId="0" fontId="10" fillId="5" borderId="5" xfId="0" applyFont="1" applyFill="1" applyBorder="1" applyAlignment="1">
      <alignment horizontal="center"/>
    </xf>
    <xf numFmtId="0" fontId="3" fillId="5" borderId="5" xfId="0" applyFont="1" applyFill="1" applyBorder="1"/>
    <xf numFmtId="0" fontId="4" fillId="5" borderId="5" xfId="0" applyFont="1" applyFill="1" applyBorder="1" applyAlignment="1">
      <alignment horizontal="center"/>
    </xf>
    <xf numFmtId="0" fontId="3" fillId="5" borderId="4" xfId="0" applyFont="1" applyFill="1" applyBorder="1"/>
    <xf numFmtId="0" fontId="3" fillId="5" borderId="6" xfId="0" applyFont="1" applyFill="1" applyBorder="1"/>
    <xf numFmtId="0" fontId="11" fillId="5" borderId="5" xfId="0" applyFont="1" applyFill="1" applyBorder="1" applyAlignment="1">
      <alignment horizontal="center"/>
    </xf>
    <xf numFmtId="0" fontId="57" fillId="5" borderId="2" xfId="0" applyFont="1" applyFill="1" applyBorder="1" applyAlignment="1">
      <alignment horizontal="center" vertical="center"/>
    </xf>
    <xf numFmtId="0" fontId="58" fillId="3" borderId="7" xfId="0" applyFont="1" applyFill="1" applyBorder="1"/>
    <xf numFmtId="0" fontId="4" fillId="5" borderId="3" xfId="0" applyFont="1" applyFill="1" applyBorder="1" applyAlignment="1">
      <alignment horizontal="center"/>
    </xf>
    <xf numFmtId="0" fontId="52" fillId="25" borderId="3" xfId="0" applyFont="1" applyFill="1" applyBorder="1" applyAlignment="1">
      <alignment horizontal="center" vertical="center"/>
    </xf>
    <xf numFmtId="0" fontId="36" fillId="4" borderId="5" xfId="0" applyFont="1" applyFill="1" applyBorder="1"/>
    <xf numFmtId="0" fontId="36" fillId="4" borderId="4" xfId="0" applyFont="1" applyFill="1" applyBorder="1"/>
    <xf numFmtId="0" fontId="46" fillId="25" borderId="3" xfId="0" applyFont="1" applyFill="1" applyBorder="1" applyAlignment="1">
      <alignment horizontal="center" vertical="center"/>
    </xf>
    <xf numFmtId="0" fontId="51" fillId="3" borderId="0" xfId="0" applyFont="1" applyFill="1" applyAlignment="1">
      <alignment horizontal="right"/>
    </xf>
    <xf numFmtId="0" fontId="0" fillId="0" borderId="0" xfId="0"/>
    <xf numFmtId="49" fontId="51" fillId="3" borderId="0" xfId="0" applyNumberFormat="1" applyFont="1" applyFill="1" applyAlignment="1">
      <alignment horizontal="left"/>
    </xf>
    <xf numFmtId="49" fontId="0" fillId="0" borderId="0" xfId="0" applyNumberFormat="1"/>
    <xf numFmtId="0" fontId="37" fillId="25" borderId="2" xfId="0" applyFont="1" applyFill="1" applyBorder="1" applyAlignment="1">
      <alignment horizontal="center" vertical="center"/>
    </xf>
    <xf numFmtId="0" fontId="37" fillId="27" borderId="2" xfId="0" applyFont="1" applyFill="1" applyBorder="1" applyAlignment="1">
      <alignment horizontal="center" vertical="center"/>
    </xf>
    <xf numFmtId="0" fontId="36" fillId="28" borderId="86" xfId="0" applyFont="1" applyFill="1" applyBorder="1"/>
    <xf numFmtId="0" fontId="46" fillId="25" borderId="10" xfId="0" applyFont="1" applyFill="1" applyBorder="1" applyAlignment="1">
      <alignment horizontal="center" vertical="center"/>
    </xf>
    <xf numFmtId="0" fontId="36" fillId="4" borderId="30" xfId="0" applyFont="1" applyFill="1" applyBorder="1"/>
    <xf numFmtId="0" fontId="36" fillId="4" borderId="32" xfId="0" applyFont="1" applyFill="1" applyBorder="1"/>
    <xf numFmtId="165" fontId="20" fillId="0" borderId="0" xfId="0" applyNumberFormat="1" applyFont="1" applyAlignment="1">
      <alignment horizontal="left" vertical="center" wrapText="1"/>
    </xf>
    <xf numFmtId="0" fontId="64" fillId="7" borderId="10" xfId="0" applyFont="1" applyFill="1" applyBorder="1" applyAlignment="1">
      <alignment horizontal="center" vertical="center"/>
    </xf>
    <xf numFmtId="0" fontId="65" fillId="0" borderId="30" xfId="0" applyFont="1" applyBorder="1"/>
    <xf numFmtId="0" fontId="65" fillId="0" borderId="32" xfId="0" applyFont="1" applyBorder="1"/>
    <xf numFmtId="0" fontId="64" fillId="7" borderId="30" xfId="0" applyFont="1" applyFill="1" applyBorder="1" applyAlignment="1">
      <alignment horizontal="center" vertical="center"/>
    </xf>
    <xf numFmtId="0" fontId="65" fillId="0" borderId="31" xfId="0" applyFont="1" applyBorder="1"/>
    <xf numFmtId="0" fontId="70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64" fillId="42" borderId="59" xfId="0" applyFont="1" applyFill="1" applyBorder="1" applyAlignment="1">
      <alignment horizontal="center" vertical="center"/>
    </xf>
    <xf numFmtId="0" fontId="64" fillId="38" borderId="60" xfId="0" applyFont="1" applyFill="1" applyBorder="1"/>
    <xf numFmtId="0" fontId="63" fillId="7" borderId="27" xfId="0" applyFont="1" applyFill="1" applyBorder="1" applyAlignment="1">
      <alignment horizontal="center" vertical="center"/>
    </xf>
    <xf numFmtId="0" fontId="65" fillId="0" borderId="33" xfId="0" applyFont="1" applyBorder="1"/>
    <xf numFmtId="0" fontId="76" fillId="5" borderId="5" xfId="0" applyFont="1" applyFill="1" applyBorder="1" applyAlignment="1">
      <alignment horizontal="center"/>
    </xf>
    <xf numFmtId="0" fontId="67" fillId="5" borderId="5" xfId="0" applyFont="1" applyFill="1" applyBorder="1"/>
    <xf numFmtId="0" fontId="67" fillId="5" borderId="6" xfId="0" applyFont="1" applyFill="1" applyBorder="1"/>
    <xf numFmtId="0" fontId="67" fillId="5" borderId="4" xfId="0" applyFont="1" applyFill="1" applyBorder="1"/>
    <xf numFmtId="0" fontId="77" fillId="5" borderId="5" xfId="0" applyFont="1" applyFill="1" applyBorder="1" applyAlignment="1">
      <alignment horizontal="center"/>
    </xf>
    <xf numFmtId="0" fontId="75" fillId="34" borderId="2" xfId="0" applyFont="1" applyFill="1" applyBorder="1" applyAlignment="1">
      <alignment horizontal="center" vertical="center"/>
    </xf>
    <xf numFmtId="0" fontId="78" fillId="12" borderId="7" xfId="0" applyFont="1" applyFill="1" applyBorder="1"/>
    <xf numFmtId="0" fontId="76" fillId="5" borderId="3" xfId="0" applyFont="1" applyFill="1" applyBorder="1" applyAlignment="1">
      <alignment horizontal="center"/>
    </xf>
    <xf numFmtId="0" fontId="77" fillId="14" borderId="66" xfId="0" applyFont="1" applyFill="1" applyBorder="1" applyAlignment="1">
      <alignment horizontal="center"/>
    </xf>
    <xf numFmtId="0" fontId="67" fillId="14" borderId="67" xfId="0" applyFont="1" applyFill="1" applyBorder="1"/>
    <xf numFmtId="0" fontId="80" fillId="25" borderId="3" xfId="0" applyFont="1" applyFill="1" applyBorder="1" applyAlignment="1">
      <alignment horizontal="center" vertical="center"/>
    </xf>
    <xf numFmtId="0" fontId="44" fillId="4" borderId="5" xfId="0" applyFont="1" applyFill="1" applyBorder="1"/>
    <xf numFmtId="0" fontId="44" fillId="4" borderId="4" xfId="0" applyFont="1" applyFill="1" applyBorder="1"/>
    <xf numFmtId="0" fontId="70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41" fillId="25" borderId="3" xfId="0" applyFont="1" applyFill="1" applyBorder="1" applyAlignment="1">
      <alignment horizontal="center" vertical="center"/>
    </xf>
    <xf numFmtId="0" fontId="70" fillId="3" borderId="0" xfId="0" applyFont="1" applyFill="1" applyAlignment="1">
      <alignment horizontal="right" vertical="center"/>
    </xf>
    <xf numFmtId="0" fontId="69" fillId="0" borderId="0" xfId="0" applyFont="1" applyAlignment="1">
      <alignment vertical="center"/>
    </xf>
    <xf numFmtId="0" fontId="84" fillId="40" borderId="89" xfId="0" applyFont="1" applyFill="1" applyBorder="1" applyAlignment="1">
      <alignment horizontal="center" vertical="center"/>
    </xf>
    <xf numFmtId="0" fontId="85" fillId="41" borderId="61" xfId="0" applyFont="1" applyFill="1" applyBorder="1"/>
    <xf numFmtId="49" fontId="70" fillId="3" borderId="0" xfId="0" applyNumberFormat="1" applyFont="1" applyFill="1" applyAlignment="1">
      <alignment horizontal="left" vertical="center"/>
    </xf>
    <xf numFmtId="49" fontId="69" fillId="0" borderId="0" xfId="0" applyNumberFormat="1" applyFont="1" applyAlignment="1">
      <alignment vertical="center"/>
    </xf>
    <xf numFmtId="0" fontId="72" fillId="27" borderId="90" xfId="0" applyFont="1" applyFill="1" applyBorder="1" applyAlignment="1">
      <alignment horizontal="center" vertical="center"/>
    </xf>
    <xf numFmtId="0" fontId="82" fillId="28" borderId="91" xfId="0" applyFont="1" applyFill="1" applyBorder="1"/>
    <xf numFmtId="0" fontId="41" fillId="25" borderId="30" xfId="0" applyFont="1" applyFill="1" applyBorder="1" applyAlignment="1">
      <alignment horizontal="center" vertical="center"/>
    </xf>
    <xf numFmtId="0" fontId="44" fillId="4" borderId="30" xfId="0" applyFont="1" applyFill="1" applyBorder="1"/>
    <xf numFmtId="0" fontId="44" fillId="4" borderId="32" xfId="0" applyFont="1" applyFill="1" applyBorder="1"/>
    <xf numFmtId="0" fontId="1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7" fillId="5" borderId="3" xfId="0" applyFont="1" applyFill="1" applyBorder="1" applyAlignment="1">
      <alignment horizontal="center"/>
    </xf>
  </cellXfs>
  <cellStyles count="1">
    <cellStyle name="ปกติ" xfId="0" builtinId="0"/>
  </cellStyles>
  <dxfs count="3"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</dxfs>
  <tableStyles count="1">
    <tableStyle name="Form Responses 1-style" pivot="0" count="3">
      <tableStyleElement type="headerRow" dxfId="2"/>
      <tableStyleElement type="firstRowStripe" dxfId="1"/>
      <tableStyleElement type="secondRowStripe" dxfId="0"/>
    </tableStyle>
  </tableStyles>
  <colors>
    <mruColors>
      <color rgb="FFE55E43"/>
      <color rgb="FF66FF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อาชญากรรมทั่วไป (</a:t>
            </a:r>
            <a:r>
              <a:rPr lang="en-US"/>
              <a:t>On Ground)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ชาร์ตคะแนน!$C$38</c:f>
              <c:strCache>
                <c:ptCount val="1"/>
                <c:pt idx="0">
                  <c:v>ราย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1"/>
          <c:cat>
            <c:strRef>
              <c:f>ชาร์ตคะแนน!$B$39:$B$54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ชาร์ตคะแนน!$C$39:$C$54</c:f>
              <c:numCache>
                <c:formatCode>General</c:formatCode>
                <c:ptCount val="16"/>
                <c:pt idx="0">
                  <c:v>530</c:v>
                </c:pt>
                <c:pt idx="1">
                  <c:v>1127</c:v>
                </c:pt>
                <c:pt idx="2">
                  <c:v>1358</c:v>
                </c:pt>
                <c:pt idx="3">
                  <c:v>1558</c:v>
                </c:pt>
                <c:pt idx="4">
                  <c:v>4892</c:v>
                </c:pt>
                <c:pt idx="5">
                  <c:v>572</c:v>
                </c:pt>
                <c:pt idx="6">
                  <c:v>787</c:v>
                </c:pt>
                <c:pt idx="7">
                  <c:v>1018</c:v>
                </c:pt>
                <c:pt idx="8">
                  <c:v>800</c:v>
                </c:pt>
                <c:pt idx="9">
                  <c:v>655</c:v>
                </c:pt>
                <c:pt idx="10">
                  <c:v>281</c:v>
                </c:pt>
                <c:pt idx="11">
                  <c:v>100</c:v>
                </c:pt>
                <c:pt idx="12">
                  <c:v>29</c:v>
                </c:pt>
                <c:pt idx="13">
                  <c:v>900</c:v>
                </c:pt>
                <c:pt idx="14">
                  <c:v>129</c:v>
                </c:pt>
                <c:pt idx="15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C0-43AB-B46A-C2CFB561341E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</c:extLst>
        </c:ser>
        <c:ser>
          <c:idx val="1"/>
          <c:order val="1"/>
          <c:tx>
            <c:strRef>
              <c:f>ชาร์ตคะแนน!$D$38</c:f>
              <c:strCache>
                <c:ptCount val="1"/>
                <c:pt idx="0">
                  <c:v> คน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1"/>
          <c:cat>
            <c:strRef>
              <c:f>ชาร์ตคะแนน!$B$39:$B$54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ชาร์ตคะแนน!$D$39:$D$54</c:f>
              <c:numCache>
                <c:formatCode>General</c:formatCode>
                <c:ptCount val="16"/>
                <c:pt idx="0">
                  <c:v>639</c:v>
                </c:pt>
                <c:pt idx="1">
                  <c:v>1263</c:v>
                </c:pt>
                <c:pt idx="2">
                  <c:v>1525</c:v>
                </c:pt>
                <c:pt idx="3">
                  <c:v>1680</c:v>
                </c:pt>
                <c:pt idx="4">
                  <c:v>5196</c:v>
                </c:pt>
                <c:pt idx="5">
                  <c:v>474</c:v>
                </c:pt>
                <c:pt idx="6">
                  <c:v>855</c:v>
                </c:pt>
                <c:pt idx="7">
                  <c:v>1185</c:v>
                </c:pt>
                <c:pt idx="8">
                  <c:v>917</c:v>
                </c:pt>
                <c:pt idx="9">
                  <c:v>757</c:v>
                </c:pt>
                <c:pt idx="10">
                  <c:v>464</c:v>
                </c:pt>
                <c:pt idx="11">
                  <c:v>126</c:v>
                </c:pt>
                <c:pt idx="12">
                  <c:v>37</c:v>
                </c:pt>
                <c:pt idx="13">
                  <c:v>1215</c:v>
                </c:pt>
                <c:pt idx="14">
                  <c:v>153</c:v>
                </c:pt>
                <c:pt idx="15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C0-43AB-B46A-C2CFB561341E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</c:extLst>
        </c:ser>
        <c:ser>
          <c:idx val="2"/>
          <c:order val="2"/>
          <c:tx>
            <c:strRef>
              <c:f>ชาร์ตคะแนน!$E$38</c:f>
              <c:strCache>
                <c:ptCount val="1"/>
                <c:pt idx="0">
                  <c:v>คะแนน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1"/>
          <c:cat>
            <c:strRef>
              <c:f>ชาร์ตคะแนน!$B$39:$B$54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ชาร์ตคะแนน!$E$39:$E$54</c:f>
              <c:numCache>
                <c:formatCode>0.0</c:formatCode>
                <c:ptCount val="16"/>
                <c:pt idx="0">
                  <c:v>489.5</c:v>
                </c:pt>
                <c:pt idx="1">
                  <c:v>1415</c:v>
                </c:pt>
                <c:pt idx="2">
                  <c:v>1556</c:v>
                </c:pt>
                <c:pt idx="3">
                  <c:v>2374</c:v>
                </c:pt>
                <c:pt idx="4">
                  <c:v>5724.5</c:v>
                </c:pt>
                <c:pt idx="5">
                  <c:v>897.5</c:v>
                </c:pt>
                <c:pt idx="6">
                  <c:v>778</c:v>
                </c:pt>
                <c:pt idx="7">
                  <c:v>1221.5</c:v>
                </c:pt>
                <c:pt idx="8">
                  <c:v>1130</c:v>
                </c:pt>
                <c:pt idx="9">
                  <c:v>743.5</c:v>
                </c:pt>
                <c:pt idx="10">
                  <c:v>424.5</c:v>
                </c:pt>
                <c:pt idx="11">
                  <c:v>144.5</c:v>
                </c:pt>
                <c:pt idx="12">
                  <c:v>54.5</c:v>
                </c:pt>
                <c:pt idx="13">
                  <c:v>709.5</c:v>
                </c:pt>
                <c:pt idx="14">
                  <c:v>176</c:v>
                </c:pt>
                <c:pt idx="15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C0-43AB-B46A-C2CFB5613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6615696"/>
        <c:axId val="136617872"/>
      </c:barChart>
      <c:catAx>
        <c:axId val="13661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36617872"/>
        <c:crosses val="autoZero"/>
        <c:auto val="1"/>
        <c:lblAlgn val="ctr"/>
        <c:lblOffset val="100"/>
        <c:noMultiLvlLbl val="1"/>
      </c:catAx>
      <c:valAx>
        <c:axId val="13661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366156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อาชญากรรมทางเทคโนโลยี (</a:t>
            </a:r>
            <a:r>
              <a:rPr lang="en-US"/>
              <a:t>On Line)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ชาร์ตคะแนน!$G$38</c:f>
              <c:strCache>
                <c:ptCount val="1"/>
                <c:pt idx="0">
                  <c:v>ราย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1"/>
          <c:cat>
            <c:strRef>
              <c:f>ชาร์ตคะแนน!$F$39:$F$54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ชาร์ตคะแนน!$G$39:$G$54</c:f>
              <c:numCache>
                <c:formatCode>General</c:formatCode>
                <c:ptCount val="16"/>
                <c:pt idx="0">
                  <c:v>26</c:v>
                </c:pt>
                <c:pt idx="1">
                  <c:v>51</c:v>
                </c:pt>
                <c:pt idx="2">
                  <c:v>16</c:v>
                </c:pt>
                <c:pt idx="3">
                  <c:v>24</c:v>
                </c:pt>
                <c:pt idx="4">
                  <c:v>55</c:v>
                </c:pt>
                <c:pt idx="5">
                  <c:v>25</c:v>
                </c:pt>
                <c:pt idx="6">
                  <c:v>12</c:v>
                </c:pt>
                <c:pt idx="7">
                  <c:v>26</c:v>
                </c:pt>
                <c:pt idx="8">
                  <c:v>21</c:v>
                </c:pt>
                <c:pt idx="9">
                  <c:v>20</c:v>
                </c:pt>
                <c:pt idx="10">
                  <c:v>44</c:v>
                </c:pt>
                <c:pt idx="11">
                  <c:v>91</c:v>
                </c:pt>
                <c:pt idx="12">
                  <c:v>5</c:v>
                </c:pt>
                <c:pt idx="13">
                  <c:v>9</c:v>
                </c:pt>
                <c:pt idx="14">
                  <c:v>4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C6-48EB-84DC-A891A6CFB7FE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14:spPr>
              </c14:invertSolidFillFmt>
            </c:ext>
          </c:extLst>
        </c:ser>
        <c:ser>
          <c:idx val="1"/>
          <c:order val="1"/>
          <c:tx>
            <c:strRef>
              <c:f>ชาร์ตคะแนน!$H$38</c:f>
              <c:strCache>
                <c:ptCount val="1"/>
                <c:pt idx="0">
                  <c:v> คน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1"/>
          <c:cat>
            <c:strRef>
              <c:f>ชาร์ตคะแนน!$F$39:$F$54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ชาร์ตคะแนน!$H$39:$H$54</c:f>
              <c:numCache>
                <c:formatCode>General</c:formatCode>
                <c:ptCount val="16"/>
                <c:pt idx="0">
                  <c:v>27</c:v>
                </c:pt>
                <c:pt idx="1">
                  <c:v>50</c:v>
                </c:pt>
                <c:pt idx="2">
                  <c:v>21</c:v>
                </c:pt>
                <c:pt idx="3">
                  <c:v>24</c:v>
                </c:pt>
                <c:pt idx="4">
                  <c:v>54</c:v>
                </c:pt>
                <c:pt idx="5">
                  <c:v>26</c:v>
                </c:pt>
                <c:pt idx="6">
                  <c:v>12</c:v>
                </c:pt>
                <c:pt idx="7">
                  <c:v>27</c:v>
                </c:pt>
                <c:pt idx="8">
                  <c:v>21</c:v>
                </c:pt>
                <c:pt idx="9">
                  <c:v>25</c:v>
                </c:pt>
                <c:pt idx="10">
                  <c:v>51</c:v>
                </c:pt>
                <c:pt idx="11">
                  <c:v>103</c:v>
                </c:pt>
                <c:pt idx="12">
                  <c:v>3</c:v>
                </c:pt>
                <c:pt idx="13">
                  <c:v>11</c:v>
                </c:pt>
                <c:pt idx="14">
                  <c:v>4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C6-48EB-84DC-A891A6CFB7FE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14:spPr>
              </c14:invertSolidFillFmt>
            </c:ext>
          </c:extLst>
        </c:ser>
        <c:ser>
          <c:idx val="2"/>
          <c:order val="2"/>
          <c:tx>
            <c:strRef>
              <c:f>ชาร์ตคะแนน!$I$38</c:f>
              <c:strCache>
                <c:ptCount val="1"/>
                <c:pt idx="0">
                  <c:v>คะแนน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1"/>
          <c:cat>
            <c:strRef>
              <c:f>ชาร์ตคะแนน!$F$39:$F$54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ชาร์ตคะแนน!$I$39:$I$54</c:f>
              <c:numCache>
                <c:formatCode>General</c:formatCode>
                <c:ptCount val="16"/>
                <c:pt idx="0">
                  <c:v>89</c:v>
                </c:pt>
                <c:pt idx="1">
                  <c:v>155</c:v>
                </c:pt>
                <c:pt idx="2">
                  <c:v>52</c:v>
                </c:pt>
                <c:pt idx="3">
                  <c:v>58</c:v>
                </c:pt>
                <c:pt idx="4">
                  <c:v>191</c:v>
                </c:pt>
                <c:pt idx="5">
                  <c:v>78</c:v>
                </c:pt>
                <c:pt idx="6">
                  <c:v>40</c:v>
                </c:pt>
                <c:pt idx="7">
                  <c:v>77</c:v>
                </c:pt>
                <c:pt idx="8">
                  <c:v>61</c:v>
                </c:pt>
                <c:pt idx="9">
                  <c:v>82</c:v>
                </c:pt>
                <c:pt idx="10">
                  <c:v>156</c:v>
                </c:pt>
                <c:pt idx="11">
                  <c:v>248</c:v>
                </c:pt>
                <c:pt idx="12">
                  <c:v>25</c:v>
                </c:pt>
                <c:pt idx="13">
                  <c:v>22</c:v>
                </c:pt>
                <c:pt idx="14">
                  <c:v>14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0C6-48EB-84DC-A891A6CFB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6613520"/>
        <c:axId val="136619504"/>
      </c:barChart>
      <c:catAx>
        <c:axId val="13661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36619504"/>
        <c:crosses val="autoZero"/>
        <c:auto val="1"/>
        <c:lblAlgn val="ctr"/>
        <c:lblOffset val="100"/>
        <c:noMultiLvlLbl val="1"/>
      </c:catAx>
      <c:valAx>
        <c:axId val="13661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366135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จับกุมบุคคลตามหมายจับ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ชาร์ตคะแนน!$K$38</c:f>
              <c:strCache>
                <c:ptCount val="1"/>
                <c:pt idx="0">
                  <c:v>ราย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1"/>
          <c:cat>
            <c:strRef>
              <c:f>ชาร์ตคะแนน!$J$39:$J$54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ชาร์ตคะแนน!$K$39:$K$54</c:f>
              <c:numCache>
                <c:formatCode>General</c:formatCode>
                <c:ptCount val="16"/>
                <c:pt idx="0">
                  <c:v>588</c:v>
                </c:pt>
                <c:pt idx="1">
                  <c:v>640</c:v>
                </c:pt>
                <c:pt idx="2">
                  <c:v>576</c:v>
                </c:pt>
                <c:pt idx="3">
                  <c:v>331</c:v>
                </c:pt>
                <c:pt idx="4">
                  <c:v>656</c:v>
                </c:pt>
                <c:pt idx="5">
                  <c:v>563</c:v>
                </c:pt>
                <c:pt idx="6">
                  <c:v>348</c:v>
                </c:pt>
                <c:pt idx="7">
                  <c:v>402</c:v>
                </c:pt>
                <c:pt idx="8">
                  <c:v>301</c:v>
                </c:pt>
                <c:pt idx="9">
                  <c:v>305</c:v>
                </c:pt>
                <c:pt idx="10">
                  <c:v>864</c:v>
                </c:pt>
                <c:pt idx="11">
                  <c:v>315</c:v>
                </c:pt>
                <c:pt idx="12">
                  <c:v>195</c:v>
                </c:pt>
                <c:pt idx="13">
                  <c:v>373</c:v>
                </c:pt>
                <c:pt idx="14">
                  <c:v>209</c:v>
                </c:pt>
                <c:pt idx="1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44-4D64-BF0D-DE95E2FC8736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14:spPr>
              </c14:invertSolidFillFmt>
            </c:ext>
          </c:extLst>
        </c:ser>
        <c:ser>
          <c:idx val="2"/>
          <c:order val="2"/>
          <c:tx>
            <c:strRef>
              <c:f>ชาร์ตคะแนน!$M$38</c:f>
              <c:strCache>
                <c:ptCount val="1"/>
                <c:pt idx="0">
                  <c:v>คะแนน</c:v>
                </c:pt>
              </c:strCache>
            </c:strRef>
          </c:tx>
          <c:spPr>
            <a:solidFill>
              <a:srgbClr val="CB7879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1"/>
          <c:cat>
            <c:strRef>
              <c:f>ชาร์ตคะแนน!$J$39:$J$54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ชาร์ตคะแนน!$M$39:$M$54</c:f>
              <c:numCache>
                <c:formatCode>General</c:formatCode>
                <c:ptCount val="16"/>
                <c:pt idx="0">
                  <c:v>2313.13</c:v>
                </c:pt>
                <c:pt idx="1">
                  <c:v>3600.15</c:v>
                </c:pt>
                <c:pt idx="2">
                  <c:v>2110.98</c:v>
                </c:pt>
                <c:pt idx="3">
                  <c:v>1795.47</c:v>
                </c:pt>
                <c:pt idx="4">
                  <c:v>2855.47</c:v>
                </c:pt>
                <c:pt idx="5">
                  <c:v>1877.6</c:v>
                </c:pt>
                <c:pt idx="6">
                  <c:v>980.09</c:v>
                </c:pt>
                <c:pt idx="7">
                  <c:v>1579.43</c:v>
                </c:pt>
                <c:pt idx="8">
                  <c:v>1934.79</c:v>
                </c:pt>
                <c:pt idx="9">
                  <c:v>684.84</c:v>
                </c:pt>
                <c:pt idx="10">
                  <c:v>3192.91</c:v>
                </c:pt>
                <c:pt idx="11">
                  <c:v>833.64</c:v>
                </c:pt>
                <c:pt idx="12">
                  <c:v>473.11</c:v>
                </c:pt>
                <c:pt idx="13">
                  <c:v>469.85</c:v>
                </c:pt>
                <c:pt idx="14">
                  <c:v>321.54000000000002</c:v>
                </c:pt>
                <c:pt idx="15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744-4D64-BF0D-DE95E2FC8736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6623312"/>
        <c:axId val="13662059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ชาร์ตคะแนน!$L$38</c15:sqref>
                        </c15:formulaRef>
                      </c:ext>
                    </c:extLst>
                    <c:strCache>
                      <c:ptCount val="1"/>
                      <c:pt idx="0">
                        <c:v> คน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1"/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ชาร์ตคะแนน!$J$39:$J$54</c15:sqref>
                        </c15:formulaRef>
                      </c:ext>
                    </c:extLst>
                    <c:strCache>
                      <c:ptCount val="16"/>
                      <c:pt idx="0">
                        <c:v>บช.น.</c:v>
                      </c:pt>
                      <c:pt idx="1">
                        <c:v>ภ.1</c:v>
                      </c:pt>
                      <c:pt idx="2">
                        <c:v>ภ.2</c:v>
                      </c:pt>
                      <c:pt idx="3">
                        <c:v>ภ.3</c:v>
                      </c:pt>
                      <c:pt idx="4">
                        <c:v>ภ.4</c:v>
                      </c:pt>
                      <c:pt idx="5">
                        <c:v>ภ.5</c:v>
                      </c:pt>
                      <c:pt idx="6">
                        <c:v>ภ.6</c:v>
                      </c:pt>
                      <c:pt idx="7">
                        <c:v>ภ.7</c:v>
                      </c:pt>
                      <c:pt idx="8">
                        <c:v>ภ.8</c:v>
                      </c:pt>
                      <c:pt idx="9">
                        <c:v>ภ.9</c:v>
                      </c:pt>
                      <c:pt idx="10">
                        <c:v>บช.ก.</c:v>
                      </c:pt>
                      <c:pt idx="11">
                        <c:v>บช.สอท.</c:v>
                      </c:pt>
                      <c:pt idx="12">
                        <c:v>บช.ปส.</c:v>
                      </c:pt>
                      <c:pt idx="13">
                        <c:v>สตม.</c:v>
                      </c:pt>
                      <c:pt idx="14">
                        <c:v>บช.ทท.</c:v>
                      </c:pt>
                      <c:pt idx="15">
                        <c:v>บช.ตชด.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ชาร์ตคะแนน!$L$39:$L$54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6744-4D64-BF0D-DE95E2FC8736}"/>
                  </c:ext>
                </c:extLst>
              </c15:ser>
            </c15:filteredBarSeries>
          </c:ext>
        </c:extLst>
      </c:barChart>
      <c:catAx>
        <c:axId val="13662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36620592"/>
        <c:crosses val="autoZero"/>
        <c:auto val="1"/>
        <c:lblAlgn val="ctr"/>
        <c:lblOffset val="100"/>
        <c:noMultiLvlLbl val="1"/>
      </c:catAx>
      <c:valAx>
        <c:axId val="13662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36623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'24'!$C$2</c:f>
              <c:strCache>
                <c:ptCount val="1"/>
                <c:pt idx="0">
                  <c:v>ความผิดเกี่ยวกับอาชญากรรม</c:v>
                </c:pt>
              </c:strCache>
            </c:strRef>
          </c:tx>
          <c:spPr>
            <a:solidFill>
              <a:srgbClr val="6D9EEB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4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FC00-4FA8-B2DF-EC93063157D6}"/>
              </c:ext>
            </c:extLst>
          </c:dPt>
          <c:dPt>
            <c:idx val="11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C00-4FA8-B2DF-EC93063157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>
                    <a:latin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'24'!$B$3:$B$18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'24'!$C$3:$C$18</c:f>
              <c:numCache>
                <c:formatCode>General</c:formatCode>
                <c:ptCount val="16"/>
                <c:pt idx="0">
                  <c:v>11</c:v>
                </c:pt>
                <c:pt idx="1">
                  <c:v>118</c:v>
                </c:pt>
                <c:pt idx="2">
                  <c:v>72</c:v>
                </c:pt>
                <c:pt idx="3">
                  <c:v>143</c:v>
                </c:pt>
                <c:pt idx="4">
                  <c:v>298</c:v>
                </c:pt>
                <c:pt idx="5">
                  <c:v>47</c:v>
                </c:pt>
                <c:pt idx="6">
                  <c:v>0</c:v>
                </c:pt>
                <c:pt idx="7">
                  <c:v>70</c:v>
                </c:pt>
                <c:pt idx="8">
                  <c:v>86</c:v>
                </c:pt>
                <c:pt idx="9">
                  <c:v>69</c:v>
                </c:pt>
                <c:pt idx="10">
                  <c:v>9</c:v>
                </c:pt>
                <c:pt idx="11">
                  <c:v>0</c:v>
                </c:pt>
                <c:pt idx="12">
                  <c:v>2</c:v>
                </c:pt>
                <c:pt idx="13">
                  <c:v>13</c:v>
                </c:pt>
                <c:pt idx="14">
                  <c:v>5</c:v>
                </c:pt>
                <c:pt idx="15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00-4FA8-B2DF-EC93063157D6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'24'!$D$2</c:f>
              <c:strCache>
                <c:ptCount val="1"/>
                <c:pt idx="0">
                  <c:v>อาชญากรรมทางเทคโนโลยี</c:v>
                </c:pt>
              </c:strCache>
            </c:strRef>
          </c:tx>
          <c:spPr>
            <a:solidFill>
              <a:srgbClr val="93C47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3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FC00-4FA8-B2DF-EC93063157D6}"/>
              </c:ext>
            </c:extLst>
          </c:dPt>
          <c:dPt>
            <c:idx val="11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C00-4FA8-B2DF-EC93063157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>
                    <a:latin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'24'!$B$3:$B$18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'24'!$D$3:$D$18</c:f>
              <c:numCache>
                <c:formatCode>General</c:formatCode>
                <c:ptCount val="1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00-4FA8-B2DF-EC93063157D6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'24'!$E$2</c:f>
              <c:strCache>
                <c:ptCount val="1"/>
                <c:pt idx="0">
                  <c:v>จับกุมบุคคลตามหมายจับ</c:v>
                </c:pt>
              </c:strCache>
            </c:strRef>
          </c:tx>
          <c:spPr>
            <a:solidFill>
              <a:srgbClr val="EA9999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C00-4FA8-B2DF-EC93063157D6}"/>
              </c:ext>
            </c:extLst>
          </c:dPt>
          <c:dPt>
            <c:idx val="4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C00-4FA8-B2DF-EC93063157D6}"/>
              </c:ext>
            </c:extLst>
          </c:dPt>
          <c:dPt>
            <c:idx val="10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FC00-4FA8-B2DF-EC93063157D6}"/>
              </c:ext>
            </c:extLst>
          </c:dPt>
          <c:dPt>
            <c:idx val="11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FC00-4FA8-B2DF-EC93063157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>
                    <a:latin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'24'!$B$3:$B$18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'24'!$E$3:$E$18</c:f>
              <c:numCache>
                <c:formatCode>General</c:formatCode>
                <c:ptCount val="16"/>
                <c:pt idx="0">
                  <c:v>25</c:v>
                </c:pt>
                <c:pt idx="1">
                  <c:v>45</c:v>
                </c:pt>
                <c:pt idx="2">
                  <c:v>24</c:v>
                </c:pt>
                <c:pt idx="3">
                  <c:v>23</c:v>
                </c:pt>
                <c:pt idx="4">
                  <c:v>26</c:v>
                </c:pt>
                <c:pt idx="5">
                  <c:v>8</c:v>
                </c:pt>
                <c:pt idx="6">
                  <c:v>0</c:v>
                </c:pt>
                <c:pt idx="7">
                  <c:v>14</c:v>
                </c:pt>
                <c:pt idx="8">
                  <c:v>26</c:v>
                </c:pt>
                <c:pt idx="9">
                  <c:v>21</c:v>
                </c:pt>
                <c:pt idx="10">
                  <c:v>61</c:v>
                </c:pt>
                <c:pt idx="11">
                  <c:v>18</c:v>
                </c:pt>
                <c:pt idx="12">
                  <c:v>1</c:v>
                </c:pt>
                <c:pt idx="13">
                  <c:v>6</c:v>
                </c:pt>
                <c:pt idx="14">
                  <c:v>12</c:v>
                </c:pt>
                <c:pt idx="1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00-4FA8-B2DF-EC93063157D6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21136"/>
        <c:axId val="136625488"/>
      </c:barChart>
      <c:catAx>
        <c:axId val="13662113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3E5656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3E5656"/>
                </a:solidFill>
                <a:latin typeface="+mn-lt"/>
              </a:defRPr>
            </a:pPr>
            <a:endParaRPr lang="en-US"/>
          </a:p>
        </c:txPr>
        <c:crossAx val="136625488"/>
        <c:crosses val="autoZero"/>
        <c:auto val="1"/>
        <c:lblAlgn val="ctr"/>
        <c:lblOffset val="100"/>
        <c:noMultiLvlLbl val="1"/>
      </c:catAx>
      <c:valAx>
        <c:axId val="136625488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3E5656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cross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3E5656"/>
                </a:solidFill>
                <a:latin typeface="+mn-lt"/>
              </a:defRPr>
            </a:pPr>
            <a:endParaRPr lang="en-US"/>
          </a:p>
        </c:txPr>
        <c:crossAx val="136621136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516767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'25'!$C$2</c:f>
              <c:strCache>
                <c:ptCount val="1"/>
                <c:pt idx="0">
                  <c:v>ความผิดเกี่ยวกับอาชญากรรม</c:v>
                </c:pt>
              </c:strCache>
            </c:strRef>
          </c:tx>
          <c:spPr>
            <a:solidFill>
              <a:srgbClr val="6D9EEB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4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B8C9-4745-AE3F-14A15392BBA1}"/>
              </c:ext>
            </c:extLst>
          </c:dPt>
          <c:dPt>
            <c:idx val="11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8C9-4745-AE3F-14A15392BB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>
                    <a:latin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'25'!$B$3:$B$18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'25'!$C$3:$C$18</c:f>
              <c:numCache>
                <c:formatCode>General</c:formatCode>
                <c:ptCount val="16"/>
                <c:pt idx="0">
                  <c:v>54</c:v>
                </c:pt>
                <c:pt idx="1">
                  <c:v>143</c:v>
                </c:pt>
                <c:pt idx="2">
                  <c:v>133</c:v>
                </c:pt>
                <c:pt idx="3">
                  <c:v>186</c:v>
                </c:pt>
                <c:pt idx="4">
                  <c:v>581</c:v>
                </c:pt>
                <c:pt idx="5">
                  <c:v>74</c:v>
                </c:pt>
                <c:pt idx="6">
                  <c:v>81</c:v>
                </c:pt>
                <c:pt idx="7">
                  <c:v>154</c:v>
                </c:pt>
                <c:pt idx="8">
                  <c:v>118</c:v>
                </c:pt>
                <c:pt idx="9">
                  <c:v>95</c:v>
                </c:pt>
                <c:pt idx="10">
                  <c:v>23</c:v>
                </c:pt>
                <c:pt idx="11">
                  <c:v>5</c:v>
                </c:pt>
                <c:pt idx="12">
                  <c:v>1</c:v>
                </c:pt>
                <c:pt idx="13">
                  <c:v>42</c:v>
                </c:pt>
                <c:pt idx="14">
                  <c:v>14</c:v>
                </c:pt>
                <c:pt idx="1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C9-4745-AE3F-14A15392BBA1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'25'!$D$2</c:f>
              <c:strCache>
                <c:ptCount val="1"/>
                <c:pt idx="0">
                  <c:v>อาชญากรรมทางเทคโนโลยี</c:v>
                </c:pt>
              </c:strCache>
            </c:strRef>
          </c:tx>
          <c:spPr>
            <a:solidFill>
              <a:srgbClr val="93C47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3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8C9-4745-AE3F-14A15392BBA1}"/>
              </c:ext>
            </c:extLst>
          </c:dPt>
          <c:dPt>
            <c:idx val="11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B8C9-4745-AE3F-14A15392BB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>
                    <a:latin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'25'!$B$3:$B$18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'25'!$D$3:$D$18</c:f>
              <c:numCache>
                <c:formatCode>General</c:formatCode>
                <c:ptCount val="16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13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8C9-4745-AE3F-14A15392BBA1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'25'!$E$2</c:f>
              <c:strCache>
                <c:ptCount val="1"/>
                <c:pt idx="0">
                  <c:v>จับกุมบุคคลตามหมายจับ</c:v>
                </c:pt>
              </c:strCache>
            </c:strRef>
          </c:tx>
          <c:spPr>
            <a:solidFill>
              <a:srgbClr val="EA9999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B8C9-4745-AE3F-14A15392BBA1}"/>
              </c:ext>
            </c:extLst>
          </c:dPt>
          <c:dPt>
            <c:idx val="4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B8C9-4745-AE3F-14A15392BBA1}"/>
              </c:ext>
            </c:extLst>
          </c:dPt>
          <c:dPt>
            <c:idx val="10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B8C9-4745-AE3F-14A15392BBA1}"/>
              </c:ext>
            </c:extLst>
          </c:dPt>
          <c:dPt>
            <c:idx val="11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B8C9-4745-AE3F-14A15392BB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>
                    <a:latin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'25'!$B$3:$B$18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'25'!$E$3:$E$18</c:f>
              <c:numCache>
                <c:formatCode>General</c:formatCode>
                <c:ptCount val="16"/>
                <c:pt idx="0">
                  <c:v>33</c:v>
                </c:pt>
                <c:pt idx="1">
                  <c:v>82</c:v>
                </c:pt>
                <c:pt idx="2">
                  <c:v>61</c:v>
                </c:pt>
                <c:pt idx="3">
                  <c:v>38</c:v>
                </c:pt>
                <c:pt idx="4">
                  <c:v>56</c:v>
                </c:pt>
                <c:pt idx="5">
                  <c:v>10</c:v>
                </c:pt>
                <c:pt idx="6">
                  <c:v>19</c:v>
                </c:pt>
                <c:pt idx="7">
                  <c:v>61</c:v>
                </c:pt>
                <c:pt idx="8">
                  <c:v>40</c:v>
                </c:pt>
                <c:pt idx="9">
                  <c:v>46</c:v>
                </c:pt>
                <c:pt idx="10">
                  <c:v>83</c:v>
                </c:pt>
                <c:pt idx="11">
                  <c:v>33</c:v>
                </c:pt>
                <c:pt idx="12">
                  <c:v>9</c:v>
                </c:pt>
                <c:pt idx="13">
                  <c:v>16</c:v>
                </c:pt>
                <c:pt idx="14">
                  <c:v>14</c:v>
                </c:pt>
                <c:pt idx="1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B8C9-4745-AE3F-14A15392BBA1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21680"/>
        <c:axId val="136618416"/>
      </c:barChart>
      <c:catAx>
        <c:axId val="13662168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3E5656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3E5656"/>
                </a:solidFill>
                <a:latin typeface="+mn-lt"/>
              </a:defRPr>
            </a:pPr>
            <a:endParaRPr lang="en-US"/>
          </a:p>
        </c:txPr>
        <c:crossAx val="136618416"/>
        <c:crosses val="autoZero"/>
        <c:auto val="1"/>
        <c:lblAlgn val="ctr"/>
        <c:lblOffset val="100"/>
        <c:noMultiLvlLbl val="1"/>
      </c:catAx>
      <c:valAx>
        <c:axId val="136618416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3E5656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cross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3E5656"/>
                </a:solidFill>
                <a:latin typeface="+mn-lt"/>
              </a:defRPr>
            </a:pPr>
            <a:endParaRPr lang="en-US"/>
          </a:p>
        </c:txPr>
        <c:crossAx val="136621680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516767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'26'!$C$2</c:f>
              <c:strCache>
                <c:ptCount val="1"/>
                <c:pt idx="0">
                  <c:v>ความผิดเกี่ยวกับอาชญากรรม</c:v>
                </c:pt>
              </c:strCache>
            </c:strRef>
          </c:tx>
          <c:spPr>
            <a:solidFill>
              <a:srgbClr val="6D9EEB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4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4CB-47A2-94F6-086D84F3644B}"/>
              </c:ext>
            </c:extLst>
          </c:dPt>
          <c:dPt>
            <c:idx val="11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4CB-47A2-94F6-086D84F364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>
                    <a:latin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'26'!$B$3:$B$18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'26'!$C$3:$C$18</c:f>
              <c:numCache>
                <c:formatCode>General</c:formatCode>
                <c:ptCount val="16"/>
                <c:pt idx="0">
                  <c:v>77</c:v>
                </c:pt>
                <c:pt idx="1">
                  <c:v>70</c:v>
                </c:pt>
                <c:pt idx="2">
                  <c:v>138</c:v>
                </c:pt>
                <c:pt idx="3">
                  <c:v>174</c:v>
                </c:pt>
                <c:pt idx="4">
                  <c:v>605</c:v>
                </c:pt>
                <c:pt idx="5">
                  <c:v>71</c:v>
                </c:pt>
                <c:pt idx="6">
                  <c:v>46</c:v>
                </c:pt>
                <c:pt idx="7">
                  <c:v>141</c:v>
                </c:pt>
                <c:pt idx="8">
                  <c:v>109</c:v>
                </c:pt>
                <c:pt idx="9">
                  <c:v>76</c:v>
                </c:pt>
                <c:pt idx="10">
                  <c:v>42</c:v>
                </c:pt>
                <c:pt idx="11">
                  <c:v>5</c:v>
                </c:pt>
                <c:pt idx="12">
                  <c:v>6</c:v>
                </c:pt>
                <c:pt idx="13">
                  <c:v>147</c:v>
                </c:pt>
                <c:pt idx="14">
                  <c:v>23</c:v>
                </c:pt>
                <c:pt idx="1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CB-47A2-94F6-086D84F3644B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'26'!$D$2</c:f>
              <c:strCache>
                <c:ptCount val="1"/>
                <c:pt idx="0">
                  <c:v>อาชญากรรมทางเทคโนโลยี</c:v>
                </c:pt>
              </c:strCache>
            </c:strRef>
          </c:tx>
          <c:spPr>
            <a:solidFill>
              <a:srgbClr val="93C47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3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4CB-47A2-94F6-086D84F3644B}"/>
              </c:ext>
            </c:extLst>
          </c:dPt>
          <c:dPt>
            <c:idx val="11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4CB-47A2-94F6-086D84F364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>
                    <a:latin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'26'!$B$3:$B$18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'26'!$D$3:$D$18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10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6</c:v>
                </c:pt>
                <c:pt idx="11">
                  <c:v>7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4CB-47A2-94F6-086D84F3644B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'26'!$E$2</c:f>
              <c:strCache>
                <c:ptCount val="1"/>
                <c:pt idx="0">
                  <c:v>จับกุมบุคคลตามหมายจับ</c:v>
                </c:pt>
              </c:strCache>
            </c:strRef>
          </c:tx>
          <c:spPr>
            <a:solidFill>
              <a:srgbClr val="EA9999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34CB-47A2-94F6-086D84F3644B}"/>
              </c:ext>
            </c:extLst>
          </c:dPt>
          <c:dPt>
            <c:idx val="4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34CB-47A2-94F6-086D84F3644B}"/>
              </c:ext>
            </c:extLst>
          </c:dPt>
          <c:dPt>
            <c:idx val="10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34CB-47A2-94F6-086D84F3644B}"/>
              </c:ext>
            </c:extLst>
          </c:dPt>
          <c:dPt>
            <c:idx val="11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34CB-47A2-94F6-086D84F364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>
                    <a:latin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'26'!$B$3:$B$18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'26'!$E$3:$E$18</c:f>
              <c:numCache>
                <c:formatCode>General</c:formatCode>
                <c:ptCount val="16"/>
                <c:pt idx="0">
                  <c:v>30</c:v>
                </c:pt>
                <c:pt idx="1">
                  <c:v>66</c:v>
                </c:pt>
                <c:pt idx="2">
                  <c:v>54</c:v>
                </c:pt>
                <c:pt idx="3">
                  <c:v>30</c:v>
                </c:pt>
                <c:pt idx="4">
                  <c:v>82</c:v>
                </c:pt>
                <c:pt idx="5">
                  <c:v>31</c:v>
                </c:pt>
                <c:pt idx="6">
                  <c:v>26</c:v>
                </c:pt>
                <c:pt idx="7">
                  <c:v>32</c:v>
                </c:pt>
                <c:pt idx="8">
                  <c:v>47</c:v>
                </c:pt>
                <c:pt idx="9">
                  <c:v>34</c:v>
                </c:pt>
                <c:pt idx="10">
                  <c:v>103</c:v>
                </c:pt>
                <c:pt idx="11">
                  <c:v>44</c:v>
                </c:pt>
                <c:pt idx="12">
                  <c:v>23</c:v>
                </c:pt>
                <c:pt idx="13">
                  <c:v>17</c:v>
                </c:pt>
                <c:pt idx="14">
                  <c:v>7</c:v>
                </c:pt>
                <c:pt idx="1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4CB-47A2-94F6-086D84F3644B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22768"/>
        <c:axId val="136611344"/>
      </c:barChart>
      <c:catAx>
        <c:axId val="13662276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3E5656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3E5656"/>
                </a:solidFill>
                <a:latin typeface="+mn-lt"/>
              </a:defRPr>
            </a:pPr>
            <a:endParaRPr lang="en-US"/>
          </a:p>
        </c:txPr>
        <c:crossAx val="136611344"/>
        <c:crosses val="autoZero"/>
        <c:auto val="1"/>
        <c:lblAlgn val="ctr"/>
        <c:lblOffset val="100"/>
        <c:noMultiLvlLbl val="1"/>
      </c:catAx>
      <c:valAx>
        <c:axId val="136611344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3E5656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cross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3E5656"/>
                </a:solidFill>
                <a:latin typeface="+mn-lt"/>
              </a:defRPr>
            </a:pPr>
            <a:endParaRPr lang="en-US"/>
          </a:p>
        </c:txPr>
        <c:crossAx val="136622768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516767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'27'!$C$2</c:f>
              <c:strCache>
                <c:ptCount val="1"/>
                <c:pt idx="0">
                  <c:v>ความผิดเกี่ยวกับอาชญากรรม</c:v>
                </c:pt>
              </c:strCache>
            </c:strRef>
          </c:tx>
          <c:spPr>
            <a:solidFill>
              <a:srgbClr val="6D9EEB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4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111-4002-9434-DFFD0F07725D}"/>
              </c:ext>
            </c:extLst>
          </c:dPt>
          <c:dPt>
            <c:idx val="11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111-4002-9434-DFFD0F0772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>
                    <a:latin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'27'!$B$3:$B$18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'27'!$C$3:$C$18</c:f>
              <c:numCache>
                <c:formatCode>General</c:formatCode>
                <c:ptCount val="16"/>
                <c:pt idx="0">
                  <c:v>56</c:v>
                </c:pt>
                <c:pt idx="1">
                  <c:v>132</c:v>
                </c:pt>
                <c:pt idx="2">
                  <c:v>133</c:v>
                </c:pt>
                <c:pt idx="3">
                  <c:v>174</c:v>
                </c:pt>
                <c:pt idx="4">
                  <c:v>679</c:v>
                </c:pt>
                <c:pt idx="5">
                  <c:v>43</c:v>
                </c:pt>
                <c:pt idx="6">
                  <c:v>52</c:v>
                </c:pt>
                <c:pt idx="7">
                  <c:v>112</c:v>
                </c:pt>
                <c:pt idx="8">
                  <c:v>72</c:v>
                </c:pt>
                <c:pt idx="9">
                  <c:v>62</c:v>
                </c:pt>
                <c:pt idx="10">
                  <c:v>37</c:v>
                </c:pt>
                <c:pt idx="11">
                  <c:v>27</c:v>
                </c:pt>
                <c:pt idx="12">
                  <c:v>3</c:v>
                </c:pt>
                <c:pt idx="13">
                  <c:v>143</c:v>
                </c:pt>
                <c:pt idx="14">
                  <c:v>29</c:v>
                </c:pt>
                <c:pt idx="1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111-4002-9434-DFFD0F07725D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'27'!$D$2</c:f>
              <c:strCache>
                <c:ptCount val="1"/>
                <c:pt idx="0">
                  <c:v>อาชญากรรมทางเทคโนโลยี</c:v>
                </c:pt>
              </c:strCache>
            </c:strRef>
          </c:tx>
          <c:spPr>
            <a:solidFill>
              <a:srgbClr val="93C47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3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111-4002-9434-DFFD0F07725D}"/>
              </c:ext>
            </c:extLst>
          </c:dPt>
          <c:dPt>
            <c:idx val="11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111-4002-9434-DFFD0F0772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>
                    <a:latin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'27'!$B$3:$B$18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'27'!$D$3:$D$18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13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111-4002-9434-DFFD0F07725D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'27'!$E$2</c:f>
              <c:strCache>
                <c:ptCount val="1"/>
                <c:pt idx="0">
                  <c:v>จับกุมบุคคลตามหมายจับ</c:v>
                </c:pt>
              </c:strCache>
            </c:strRef>
          </c:tx>
          <c:spPr>
            <a:solidFill>
              <a:srgbClr val="EA9999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E111-4002-9434-DFFD0F07725D}"/>
              </c:ext>
            </c:extLst>
          </c:dPt>
          <c:dPt>
            <c:idx val="4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111-4002-9434-DFFD0F07725D}"/>
              </c:ext>
            </c:extLst>
          </c:dPt>
          <c:dPt>
            <c:idx val="10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111-4002-9434-DFFD0F07725D}"/>
              </c:ext>
            </c:extLst>
          </c:dPt>
          <c:dPt>
            <c:idx val="11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111-4002-9434-DFFD0F0772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>
                    <a:latin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'27'!$B$3:$B$18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'27'!$E$3:$E$18</c:f>
              <c:numCache>
                <c:formatCode>General</c:formatCode>
                <c:ptCount val="16"/>
                <c:pt idx="0">
                  <c:v>50</c:v>
                </c:pt>
                <c:pt idx="1">
                  <c:v>68</c:v>
                </c:pt>
                <c:pt idx="2">
                  <c:v>66</c:v>
                </c:pt>
                <c:pt idx="3">
                  <c:v>26</c:v>
                </c:pt>
                <c:pt idx="4">
                  <c:v>71</c:v>
                </c:pt>
                <c:pt idx="5">
                  <c:v>39</c:v>
                </c:pt>
                <c:pt idx="6">
                  <c:v>16</c:v>
                </c:pt>
                <c:pt idx="7">
                  <c:v>41</c:v>
                </c:pt>
                <c:pt idx="8">
                  <c:v>26</c:v>
                </c:pt>
                <c:pt idx="9">
                  <c:v>24</c:v>
                </c:pt>
                <c:pt idx="10">
                  <c:v>93</c:v>
                </c:pt>
                <c:pt idx="11">
                  <c:v>27</c:v>
                </c:pt>
                <c:pt idx="12">
                  <c:v>30</c:v>
                </c:pt>
                <c:pt idx="13">
                  <c:v>33</c:v>
                </c:pt>
                <c:pt idx="14">
                  <c:v>18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111-4002-9434-DFFD0F07725D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23856"/>
        <c:axId val="136610800"/>
      </c:barChart>
      <c:catAx>
        <c:axId val="13662385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3E5656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3E5656"/>
                </a:solidFill>
                <a:latin typeface="+mn-lt"/>
              </a:defRPr>
            </a:pPr>
            <a:endParaRPr lang="en-US"/>
          </a:p>
        </c:txPr>
        <c:crossAx val="136610800"/>
        <c:crosses val="autoZero"/>
        <c:auto val="1"/>
        <c:lblAlgn val="ctr"/>
        <c:lblOffset val="100"/>
        <c:noMultiLvlLbl val="1"/>
      </c:catAx>
      <c:valAx>
        <c:axId val="136610800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3E5656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cross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3E5656"/>
                </a:solidFill>
                <a:latin typeface="+mn-lt"/>
              </a:defRPr>
            </a:pPr>
            <a:endParaRPr lang="en-US"/>
          </a:p>
        </c:txPr>
        <c:crossAx val="136623856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516767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'28'!$C$2</c:f>
              <c:strCache>
                <c:ptCount val="1"/>
                <c:pt idx="0">
                  <c:v>ความผิดเกี่ยวกับอาชญากรรม</c:v>
                </c:pt>
              </c:strCache>
            </c:strRef>
          </c:tx>
          <c:spPr>
            <a:solidFill>
              <a:srgbClr val="6D9EEB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4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51C-4A77-AD4A-E39E4E4B90F7}"/>
              </c:ext>
            </c:extLst>
          </c:dPt>
          <c:dPt>
            <c:idx val="11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51C-4A77-AD4A-E39E4E4B90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>
                    <a:latin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'28'!$B$3:$B$18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'28'!$C$3:$C$18</c:f>
              <c:numCache>
                <c:formatCode>General</c:formatCode>
                <c:ptCount val="16"/>
                <c:pt idx="0">
                  <c:v>75</c:v>
                </c:pt>
                <c:pt idx="1">
                  <c:v>191</c:v>
                </c:pt>
                <c:pt idx="2">
                  <c:v>222</c:v>
                </c:pt>
                <c:pt idx="3">
                  <c:v>276</c:v>
                </c:pt>
                <c:pt idx="4">
                  <c:v>683</c:v>
                </c:pt>
                <c:pt idx="5">
                  <c:v>122</c:v>
                </c:pt>
                <c:pt idx="6">
                  <c:v>162</c:v>
                </c:pt>
                <c:pt idx="7">
                  <c:v>145</c:v>
                </c:pt>
                <c:pt idx="8">
                  <c:v>82</c:v>
                </c:pt>
                <c:pt idx="9">
                  <c:v>77</c:v>
                </c:pt>
                <c:pt idx="10">
                  <c:v>48</c:v>
                </c:pt>
                <c:pt idx="11">
                  <c:v>8</c:v>
                </c:pt>
                <c:pt idx="12">
                  <c:v>2</c:v>
                </c:pt>
                <c:pt idx="13">
                  <c:v>142</c:v>
                </c:pt>
                <c:pt idx="14">
                  <c:v>11</c:v>
                </c:pt>
                <c:pt idx="15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51C-4A77-AD4A-E39E4E4B90F7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'28'!$D$2</c:f>
              <c:strCache>
                <c:ptCount val="1"/>
                <c:pt idx="0">
                  <c:v>อาชญากรรมทางเทคโนโลยี</c:v>
                </c:pt>
              </c:strCache>
            </c:strRef>
          </c:tx>
          <c:spPr>
            <a:solidFill>
              <a:srgbClr val="93C47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3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251C-4A77-AD4A-E39E4E4B90F7}"/>
              </c:ext>
            </c:extLst>
          </c:dPt>
          <c:dPt>
            <c:idx val="11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251C-4A77-AD4A-E39E4E4B90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>
                    <a:latin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'28'!$B$3:$B$18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'28'!$D$3:$D$18</c:f>
              <c:numCache>
                <c:formatCode>General</c:formatCode>
                <c:ptCount val="16"/>
                <c:pt idx="0">
                  <c:v>4</c:v>
                </c:pt>
                <c:pt idx="1">
                  <c:v>21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9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  <c:pt idx="10">
                  <c:v>16</c:v>
                </c:pt>
                <c:pt idx="11">
                  <c:v>14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51C-4A77-AD4A-E39E4E4B90F7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'28'!$E$2</c:f>
              <c:strCache>
                <c:ptCount val="1"/>
                <c:pt idx="0">
                  <c:v>จับกุมบุคคลตามหมายจับ</c:v>
                </c:pt>
              </c:strCache>
            </c:strRef>
          </c:tx>
          <c:spPr>
            <a:solidFill>
              <a:srgbClr val="EA9999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2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1C-4A77-AD4A-E39E4E4B90F7}"/>
              </c:ext>
            </c:extLst>
          </c:dPt>
          <c:dPt>
            <c:idx val="4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1C-4A77-AD4A-E39E4E4B90F7}"/>
              </c:ext>
            </c:extLst>
          </c:dPt>
          <c:dPt>
            <c:idx val="10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1C-4A77-AD4A-E39E4E4B90F7}"/>
              </c:ext>
            </c:extLst>
          </c:dPt>
          <c:dPt>
            <c:idx val="11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1C-4A77-AD4A-E39E4E4B90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>
                    <a:latin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'28'!$B$3:$B$18</c:f>
              <c:strCache>
                <c:ptCount val="16"/>
                <c:pt idx="0">
                  <c:v>บช.น.</c:v>
                </c:pt>
                <c:pt idx="1">
                  <c:v>ภ.1</c:v>
                </c:pt>
                <c:pt idx="2">
                  <c:v>ภ.2</c:v>
                </c:pt>
                <c:pt idx="3">
                  <c:v>ภ.3</c:v>
                </c:pt>
                <c:pt idx="4">
                  <c:v>ภ.4</c:v>
                </c:pt>
                <c:pt idx="5">
                  <c:v>ภ.5</c:v>
                </c:pt>
                <c:pt idx="6">
                  <c:v>ภ.6</c:v>
                </c:pt>
                <c:pt idx="7">
                  <c:v>ภ.7</c:v>
                </c:pt>
                <c:pt idx="8">
                  <c:v>ภ.8</c:v>
                </c:pt>
                <c:pt idx="9">
                  <c:v>ภ.9</c:v>
                </c:pt>
                <c:pt idx="10">
                  <c:v>บช.ก.</c:v>
                </c:pt>
                <c:pt idx="11">
                  <c:v>บช.สอท.</c:v>
                </c:pt>
                <c:pt idx="12">
                  <c:v>บช.ปส.</c:v>
                </c:pt>
                <c:pt idx="13">
                  <c:v>สตม.</c:v>
                </c:pt>
                <c:pt idx="14">
                  <c:v>บช.ทท.</c:v>
                </c:pt>
                <c:pt idx="15">
                  <c:v>บช.ตชด.</c:v>
                </c:pt>
              </c:strCache>
            </c:strRef>
          </c:cat>
          <c:val>
            <c:numRef>
              <c:f>'28'!$E$3:$E$18</c:f>
              <c:numCache>
                <c:formatCode>General</c:formatCode>
                <c:ptCount val="16"/>
                <c:pt idx="0">
                  <c:v>63</c:v>
                </c:pt>
                <c:pt idx="1">
                  <c:v>69</c:v>
                </c:pt>
                <c:pt idx="2">
                  <c:v>100</c:v>
                </c:pt>
                <c:pt idx="3">
                  <c:v>57</c:v>
                </c:pt>
                <c:pt idx="4">
                  <c:v>95</c:v>
                </c:pt>
                <c:pt idx="5">
                  <c:v>196</c:v>
                </c:pt>
                <c:pt idx="6">
                  <c:v>96</c:v>
                </c:pt>
                <c:pt idx="7">
                  <c:v>79</c:v>
                </c:pt>
                <c:pt idx="8">
                  <c:v>30</c:v>
                </c:pt>
                <c:pt idx="9">
                  <c:v>57</c:v>
                </c:pt>
                <c:pt idx="10">
                  <c:v>167</c:v>
                </c:pt>
                <c:pt idx="11">
                  <c:v>60</c:v>
                </c:pt>
                <c:pt idx="12">
                  <c:v>32</c:v>
                </c:pt>
                <c:pt idx="13">
                  <c:v>72</c:v>
                </c:pt>
                <c:pt idx="14">
                  <c:v>50</c:v>
                </c:pt>
                <c:pt idx="1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1C-4A77-AD4A-E39E4E4B90F7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24400"/>
        <c:axId val="136610256"/>
      </c:barChart>
      <c:catAx>
        <c:axId val="13662440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3E5656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3E5656"/>
                </a:solidFill>
                <a:latin typeface="+mn-lt"/>
              </a:defRPr>
            </a:pPr>
            <a:endParaRPr lang="en-US"/>
          </a:p>
        </c:txPr>
        <c:crossAx val="136610256"/>
        <c:crosses val="autoZero"/>
        <c:auto val="1"/>
        <c:lblAlgn val="ctr"/>
        <c:lblOffset val="100"/>
        <c:noMultiLvlLbl val="1"/>
      </c:catAx>
      <c:valAx>
        <c:axId val="136610256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3E5656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cross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3E5656"/>
                </a:solidFill>
                <a:latin typeface="+mn-lt"/>
              </a:defRPr>
            </a:pPr>
            <a:endParaRPr lang="en-US"/>
          </a:p>
        </c:txPr>
        <c:crossAx val="136624400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516767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28575</xdr:rowOff>
    </xdr:from>
    <xdr:ext cx="9001125" cy="3152775"/>
    <xdr:graphicFrame macro="">
      <xdr:nvGraphicFramePr>
        <xdr:cNvPr id="2" name="Chart 2" title="แผนภูมิ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0</xdr:colOff>
      <xdr:row>16</xdr:row>
      <xdr:rowOff>9525</xdr:rowOff>
    </xdr:from>
    <xdr:ext cx="9001125" cy="3695700"/>
    <xdr:graphicFrame macro="">
      <xdr:nvGraphicFramePr>
        <xdr:cNvPr id="3" name="Chart 3" title="แผนภูมิ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35</xdr:row>
      <xdr:rowOff>142875</xdr:rowOff>
    </xdr:from>
    <xdr:ext cx="9001125" cy="4181475"/>
    <xdr:graphicFrame macro="">
      <xdr:nvGraphicFramePr>
        <xdr:cNvPr id="4" name="Chart 4" title="แผนภูมิ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</xdr:colOff>
      <xdr:row>0</xdr:row>
      <xdr:rowOff>619125</xdr:rowOff>
    </xdr:from>
    <xdr:ext cx="6762750" cy="4867275"/>
    <xdr:graphicFrame macro="">
      <xdr:nvGraphicFramePr>
        <xdr:cNvPr id="5" name="Chart 5" title="แผนภูมิ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</xdr:colOff>
      <xdr:row>0</xdr:row>
      <xdr:rowOff>619125</xdr:rowOff>
    </xdr:from>
    <xdr:ext cx="6762750" cy="4867275"/>
    <xdr:graphicFrame macro="">
      <xdr:nvGraphicFramePr>
        <xdr:cNvPr id="6" name="Chart 6" title="แผนภูมิ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</xdr:colOff>
      <xdr:row>0</xdr:row>
      <xdr:rowOff>619125</xdr:rowOff>
    </xdr:from>
    <xdr:ext cx="6772275" cy="4867275"/>
    <xdr:graphicFrame macro="">
      <xdr:nvGraphicFramePr>
        <xdr:cNvPr id="7" name="Chart 7" title="แผนภูมิ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</xdr:colOff>
      <xdr:row>0</xdr:row>
      <xdr:rowOff>619125</xdr:rowOff>
    </xdr:from>
    <xdr:ext cx="6762750" cy="4867275"/>
    <xdr:graphicFrame macro="">
      <xdr:nvGraphicFramePr>
        <xdr:cNvPr id="8" name="Chart 8" title="แผนภูมิ">
          <a:extLst>
            <a:ext uri="{FF2B5EF4-FFF2-40B4-BE49-F238E27FC236}">
              <a16:creationId xmlns:a16="http://schemas.microsoft.com/office/drawing/2014/main" xmlns="" id="{00000000-0008-0000-0B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</xdr:colOff>
      <xdr:row>0</xdr:row>
      <xdr:rowOff>619125</xdr:rowOff>
    </xdr:from>
    <xdr:ext cx="6762750" cy="4867275"/>
    <xdr:graphicFrame macro="">
      <xdr:nvGraphicFramePr>
        <xdr:cNvPr id="9" name="Chart 9" title="แผนภูมิ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paporn\AppData\Local\Temp\&#3629;&#3634;&#3594;&#3597;&#3634;&#3585;&#3619;&#3619;&#3617;&#3607;&#3634;&#3591;&#3648;&#3607;&#3588;&#3650;&#3609;&#3650;&#3621;&#3618;&#3637;%20(Response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Responses 1"/>
      <sheetName val="การบันทึกข้อมูล"/>
      <sheetName val="Total Report"/>
      <sheetName val="Daily Report"/>
      <sheetName val="dบช.น."/>
      <sheetName val="dภ.1"/>
      <sheetName val="ภ.1"/>
      <sheetName val="บช.น."/>
      <sheetName val="ภ.2"/>
      <sheetName val="dภ.2"/>
      <sheetName val="dภ.3"/>
      <sheetName val="dภ.4"/>
      <sheetName val="dภ.5"/>
      <sheetName val="dภ.6"/>
      <sheetName val="dภ.7"/>
      <sheetName val="dภ.8"/>
      <sheetName val="dภ.9"/>
      <sheetName val="dบช.ก."/>
      <sheetName val="dบช.สอท."/>
      <sheetName val="dบช.ปส."/>
      <sheetName val="dสตม."/>
      <sheetName val="dบช.ทท."/>
      <sheetName val="dบช.ตชด."/>
      <sheetName val="ภ.3"/>
      <sheetName val="ภ.4"/>
      <sheetName val="ภ.5"/>
      <sheetName val="ภ.6"/>
      <sheetName val="ภ.7"/>
      <sheetName val="ภ.8"/>
      <sheetName val="ภ.9"/>
      <sheetName val="บช.ก."/>
      <sheetName val="บช.สอท."/>
      <sheetName val="บช.ปส."/>
      <sheetName val="สตม."/>
      <sheetName val="บช.ทท."/>
      <sheetName val="บช.ตชด.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1</v>
          </cell>
          <cell r="AA2">
            <v>1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1</v>
          </cell>
          <cell r="AM2">
            <v>1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13</v>
          </cell>
          <cell r="AA3">
            <v>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2</v>
          </cell>
          <cell r="AK3">
            <v>2</v>
          </cell>
          <cell r="AL3">
            <v>2</v>
          </cell>
          <cell r="AM3">
            <v>2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3</v>
          </cell>
          <cell r="AS3">
            <v>6</v>
          </cell>
          <cell r="AT3">
            <v>1</v>
          </cell>
          <cell r="AU3">
            <v>1</v>
          </cell>
          <cell r="AV3">
            <v>0</v>
          </cell>
          <cell r="AW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7</v>
          </cell>
          <cell r="S4">
            <v>7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3</v>
          </cell>
          <cell r="AA4">
            <v>3</v>
          </cell>
          <cell r="AB4">
            <v>2</v>
          </cell>
          <cell r="AC4">
            <v>2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1</v>
          </cell>
          <cell r="AM4">
            <v>1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2</v>
          </cell>
          <cell r="AS4">
            <v>2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F5">
            <v>1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3</v>
          </cell>
          <cell r="AS5">
            <v>3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3</v>
          </cell>
          <cell r="M6">
            <v>3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3</v>
          </cell>
          <cell r="AA6">
            <v>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3</v>
          </cell>
          <cell r="AS6">
            <v>7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</row>
      </sheetData>
      <sheetData sheetId="7">
        <row r="2">
          <cell r="F2">
            <v>1</v>
          </cell>
          <cell r="G2">
            <v>1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1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1</v>
          </cell>
          <cell r="O3">
            <v>1</v>
          </cell>
          <cell r="P3">
            <v>1</v>
          </cell>
          <cell r="Q3">
            <v>1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1</v>
          </cell>
          <cell r="Q5">
            <v>1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2</v>
          </cell>
          <cell r="Q6">
            <v>3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1</v>
          </cell>
          <cell r="Y6">
            <v>1</v>
          </cell>
          <cell r="Z6">
            <v>1</v>
          </cell>
          <cell r="AA6">
            <v>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1</v>
          </cell>
          <cell r="AA7">
            <v>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</row>
        <row r="8">
          <cell r="F8">
            <v>1</v>
          </cell>
          <cell r="G8">
            <v>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1</v>
          </cell>
          <cell r="N8">
            <v>0</v>
          </cell>
          <cell r="O8">
            <v>0</v>
          </cell>
          <cell r="P8">
            <v>2</v>
          </cell>
          <cell r="Q8">
            <v>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1</v>
          </cell>
          <cell r="AS8">
            <v>1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4</v>
          </cell>
          <cell r="O9">
            <v>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</v>
          </cell>
          <cell r="Y9">
            <v>2</v>
          </cell>
          <cell r="Z9">
            <v>4</v>
          </cell>
          <cell r="AA9">
            <v>4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</row>
      </sheetData>
      <sheetData sheetId="8">
        <row r="2"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1</v>
          </cell>
          <cell r="S2">
            <v>2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2</v>
          </cell>
          <cell r="Y2">
            <v>2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1</v>
          </cell>
          <cell r="S3">
            <v>1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1</v>
          </cell>
          <cell r="AC3">
            <v>1</v>
          </cell>
          <cell r="AD3">
            <v>1</v>
          </cell>
          <cell r="AE3">
            <v>1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2</v>
          </cell>
          <cell r="AS3">
            <v>2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1</v>
          </cell>
          <cell r="S4">
            <v>1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1</v>
          </cell>
          <cell r="AS4">
            <v>5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3</v>
          </cell>
          <cell r="AA6">
            <v>3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1</v>
          </cell>
          <cell r="AA7">
            <v>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</v>
          </cell>
          <cell r="M9">
            <v>1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1</v>
          </cell>
          <cell r="AA9">
            <v>1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1</v>
          </cell>
          <cell r="AA2">
            <v>1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3</v>
          </cell>
          <cell r="AA3">
            <v>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2</v>
          </cell>
          <cell r="AS3">
            <v>2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1</v>
          </cell>
          <cell r="AS4">
            <v>1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2</v>
          </cell>
          <cell r="AS5">
            <v>2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1</v>
          </cell>
          <cell r="AA6">
            <v>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9</v>
          </cell>
          <cell r="AS7">
            <v>9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1</v>
          </cell>
          <cell r="AA8">
            <v>1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2</v>
          </cell>
          <cell r="AA9">
            <v>2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1</v>
          </cell>
          <cell r="AS9">
            <v>1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</row>
      </sheetData>
      <sheetData sheetId="24">
        <row r="2"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1</v>
          </cell>
          <cell r="AA2">
            <v>1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1</v>
          </cell>
          <cell r="U3">
            <v>1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2</v>
          </cell>
          <cell r="AA3">
            <v>2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4</v>
          </cell>
          <cell r="O4">
            <v>4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4</v>
          </cell>
          <cell r="AA4">
            <v>4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1</v>
          </cell>
          <cell r="AM4">
            <v>1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1</v>
          </cell>
          <cell r="AW4">
            <v>1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1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1</v>
          </cell>
          <cell r="AS5">
            <v>1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4</v>
          </cell>
          <cell r="AA6">
            <v>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</row>
        <row r="7">
          <cell r="F7">
            <v>1</v>
          </cell>
          <cell r="G7">
            <v>1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</v>
          </cell>
          <cell r="Y7">
            <v>1</v>
          </cell>
          <cell r="Z7">
            <v>5</v>
          </cell>
          <cell r="AA7">
            <v>5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6</v>
          </cell>
          <cell r="O8">
            <v>6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3</v>
          </cell>
          <cell r="AA8">
            <v>3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1</v>
          </cell>
          <cell r="AS8">
            <v>1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</v>
          </cell>
          <cell r="M9">
            <v>1</v>
          </cell>
          <cell r="N9">
            <v>2</v>
          </cell>
          <cell r="O9">
            <v>2</v>
          </cell>
          <cell r="P9">
            <v>1</v>
          </cell>
          <cell r="Q9">
            <v>1</v>
          </cell>
          <cell r="R9">
            <v>2</v>
          </cell>
          <cell r="S9">
            <v>2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>
            <v>5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1</v>
          </cell>
          <cell r="AQ9">
            <v>0</v>
          </cell>
          <cell r="AR9">
            <v>4</v>
          </cell>
          <cell r="AS9">
            <v>4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</row>
      </sheetData>
      <sheetData sheetId="25">
        <row r="2"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2</v>
          </cell>
          <cell r="S2">
            <v>2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2</v>
          </cell>
          <cell r="S3">
            <v>2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1</v>
          </cell>
          <cell r="AA3">
            <v>1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9</v>
          </cell>
          <cell r="AA4">
            <v>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1</v>
          </cell>
          <cell r="S5">
            <v>1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2</v>
          </cell>
          <cell r="AA5">
            <v>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>
            <v>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1</v>
          </cell>
          <cell r="AI6">
            <v>1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2</v>
          </cell>
          <cell r="AS6">
            <v>3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2</v>
          </cell>
          <cell r="AA7">
            <v>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</row>
      </sheetData>
      <sheetData sheetId="26">
        <row r="2"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1</v>
          </cell>
          <cell r="S2">
            <v>1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</v>
          </cell>
          <cell r="Q3">
            <v>1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1</v>
          </cell>
          <cell r="AA3">
            <v>1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</row>
        <row r="4">
          <cell r="F4">
            <v>0</v>
          </cell>
          <cell r="G4">
            <v>0</v>
          </cell>
          <cell r="H4">
            <v>1</v>
          </cell>
          <cell r="I4">
            <v>1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2</v>
          </cell>
          <cell r="AA4">
            <v>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1</v>
          </cell>
          <cell r="AS4">
            <v>1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1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</v>
          </cell>
          <cell r="AE5">
            <v>1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1</v>
          </cell>
          <cell r="AW5">
            <v>2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>
            <v>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</row>
      </sheetData>
      <sheetData sheetId="27">
        <row r="2"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1</v>
          </cell>
          <cell r="U4">
            <v>2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2</v>
          </cell>
          <cell r="AA4">
            <v>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>
            <v>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3</v>
          </cell>
          <cell r="AA6">
            <v>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1</v>
          </cell>
          <cell r="AS6">
            <v>1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</v>
          </cell>
          <cell r="M7">
            <v>1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2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1</v>
          </cell>
          <cell r="AA7">
            <v>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1</v>
          </cell>
          <cell r="AA8">
            <v>1</v>
          </cell>
          <cell r="AB8">
            <v>0</v>
          </cell>
          <cell r="AC8">
            <v>0</v>
          </cell>
          <cell r="AD8">
            <v>1</v>
          </cell>
          <cell r="AE8">
            <v>2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>
            <v>5</v>
          </cell>
          <cell r="AB9">
            <v>1</v>
          </cell>
          <cell r="AC9">
            <v>1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6</v>
          </cell>
          <cell r="AS9">
            <v>6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</row>
      </sheetData>
      <sheetData sheetId="28">
        <row r="2"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1</v>
          </cell>
          <cell r="Y3">
            <v>1</v>
          </cell>
          <cell r="Z3">
            <v>3</v>
          </cell>
          <cell r="AA3">
            <v>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1</v>
          </cell>
          <cell r="O4">
            <v>1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1</v>
          </cell>
          <cell r="AS4">
            <v>1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3</v>
          </cell>
          <cell r="AA5">
            <v>3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1</v>
          </cell>
          <cell r="AA6">
            <v>1</v>
          </cell>
          <cell r="AB6">
            <v>0</v>
          </cell>
          <cell r="AC6">
            <v>0</v>
          </cell>
          <cell r="AD6">
            <v>1</v>
          </cell>
          <cell r="AE6">
            <v>1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1</v>
          </cell>
          <cell r="AS6">
            <v>1</v>
          </cell>
          <cell r="AT6">
            <v>0</v>
          </cell>
          <cell r="AU6">
            <v>0</v>
          </cell>
          <cell r="AV6">
            <v>1</v>
          </cell>
          <cell r="AW6">
            <v>1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</v>
          </cell>
          <cell r="AS7">
            <v>1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3</v>
          </cell>
          <cell r="AA8">
            <v>3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1</v>
          </cell>
          <cell r="AA9">
            <v>1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1</v>
          </cell>
          <cell r="AK9">
            <v>1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2</v>
          </cell>
          <cell r="AS9">
            <v>2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</row>
      </sheetData>
      <sheetData sheetId="29">
        <row r="2"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1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11</v>
          </cell>
          <cell r="O3">
            <v>11</v>
          </cell>
          <cell r="P3">
            <v>2</v>
          </cell>
          <cell r="Q3">
            <v>1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</row>
        <row r="7">
          <cell r="F7">
            <v>1</v>
          </cell>
          <cell r="G7">
            <v>1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</row>
        <row r="8"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1</v>
          </cell>
          <cell r="Y8">
            <v>3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</v>
          </cell>
          <cell r="Y9">
            <v>4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2</v>
          </cell>
          <cell r="AS9">
            <v>4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</row>
      </sheetData>
      <sheetData sheetId="30">
        <row r="2"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1</v>
          </cell>
          <cell r="AA2">
            <v>1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1</v>
          </cell>
          <cell r="O3">
            <v>1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1</v>
          </cell>
          <cell r="AA3">
            <v>1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2</v>
          </cell>
          <cell r="O4">
            <v>2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1</v>
          </cell>
          <cell r="W4">
            <v>1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2</v>
          </cell>
          <cell r="AK4">
            <v>2</v>
          </cell>
          <cell r="AL4">
            <v>1</v>
          </cell>
          <cell r="AM4">
            <v>1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1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1</v>
          </cell>
          <cell r="W5">
            <v>1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1</v>
          </cell>
          <cell r="AK5">
            <v>1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4</v>
          </cell>
          <cell r="O6">
            <v>4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>
            <v>1</v>
          </cell>
          <cell r="AB6">
            <v>0</v>
          </cell>
          <cell r="AC6">
            <v>0</v>
          </cell>
          <cell r="AD6">
            <v>6</v>
          </cell>
          <cell r="AE6">
            <v>6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4</v>
          </cell>
          <cell r="AW6">
            <v>3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</v>
          </cell>
          <cell r="S7">
            <v>3</v>
          </cell>
          <cell r="T7">
            <v>0</v>
          </cell>
          <cell r="U7">
            <v>0</v>
          </cell>
          <cell r="V7">
            <v>1</v>
          </cell>
          <cell r="W7">
            <v>1</v>
          </cell>
          <cell r="X7">
            <v>0</v>
          </cell>
          <cell r="Y7">
            <v>0</v>
          </cell>
          <cell r="Z7">
            <v>1</v>
          </cell>
          <cell r="AA7">
            <v>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1</v>
          </cell>
          <cell r="AW7">
            <v>11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1</v>
          </cell>
          <cell r="AA8">
            <v>1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3</v>
          </cell>
          <cell r="AW8">
            <v>3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2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2</v>
          </cell>
          <cell r="AA9">
            <v>2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2</v>
          </cell>
          <cell r="AW9">
            <v>2</v>
          </cell>
        </row>
      </sheetData>
      <sheetData sheetId="31">
        <row r="2"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1</v>
          </cell>
          <cell r="K2">
            <v>1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1</v>
          </cell>
          <cell r="Q2">
            <v>1</v>
          </cell>
          <cell r="R2">
            <v>3</v>
          </cell>
          <cell r="S2">
            <v>3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3</v>
          </cell>
          <cell r="AA2">
            <v>3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1</v>
          </cell>
          <cell r="AS2">
            <v>1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3</v>
          </cell>
          <cell r="AA3">
            <v>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1</v>
          </cell>
          <cell r="M4">
            <v>1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3</v>
          </cell>
          <cell r="AA4">
            <v>3</v>
          </cell>
          <cell r="AB4">
            <v>1</v>
          </cell>
          <cell r="AC4">
            <v>1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2</v>
          </cell>
          <cell r="AS4">
            <v>2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2</v>
          </cell>
          <cell r="AM5">
            <v>2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11</v>
          </cell>
          <cell r="AS5">
            <v>11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2</v>
          </cell>
          <cell r="M6">
            <v>2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7</v>
          </cell>
          <cell r="AA6">
            <v>7</v>
          </cell>
          <cell r="AB6">
            <v>2</v>
          </cell>
          <cell r="AC6">
            <v>2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3</v>
          </cell>
          <cell r="AS6">
            <v>9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</v>
          </cell>
          <cell r="K7">
            <v>2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</v>
          </cell>
          <cell r="S7">
            <v>1</v>
          </cell>
          <cell r="T7">
            <v>2</v>
          </cell>
          <cell r="U7">
            <v>2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4</v>
          </cell>
          <cell r="AA7">
            <v>4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1</v>
          </cell>
          <cell r="AI7">
            <v>1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4</v>
          </cell>
          <cell r="AS7">
            <v>4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1</v>
          </cell>
          <cell r="Q8">
            <v>1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>
            <v>4</v>
          </cell>
          <cell r="AB8">
            <v>1</v>
          </cell>
          <cell r="AC8">
            <v>1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4</v>
          </cell>
          <cell r="AM8">
            <v>4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3</v>
          </cell>
          <cell r="AS8">
            <v>3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</v>
          </cell>
          <cell r="M9">
            <v>1</v>
          </cell>
          <cell r="N9">
            <v>0</v>
          </cell>
          <cell r="O9">
            <v>0</v>
          </cell>
          <cell r="P9">
            <v>3</v>
          </cell>
          <cell r="Q9">
            <v>3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</v>
          </cell>
          <cell r="Y9">
            <v>3</v>
          </cell>
          <cell r="Z9">
            <v>3</v>
          </cell>
          <cell r="AA9">
            <v>3</v>
          </cell>
          <cell r="AB9">
            <v>2</v>
          </cell>
          <cell r="AC9">
            <v>2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1</v>
          </cell>
          <cell r="AI9">
            <v>1</v>
          </cell>
          <cell r="AJ9">
            <v>3</v>
          </cell>
          <cell r="AK9">
            <v>3</v>
          </cell>
          <cell r="AL9">
            <v>2</v>
          </cell>
          <cell r="AM9">
            <v>2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2</v>
          </cell>
          <cell r="AS9">
            <v>6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</row>
      </sheetData>
      <sheetData sheetId="32">
        <row r="2"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3</v>
          </cell>
          <cell r="O3">
            <v>2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</row>
      </sheetData>
      <sheetData sheetId="33">
        <row r="2"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1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1</v>
          </cell>
          <cell r="AS3">
            <v>1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1</v>
          </cell>
          <cell r="AS5">
            <v>1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1</v>
          </cell>
          <cell r="AS6">
            <v>3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3</v>
          </cell>
          <cell r="AS7">
            <v>3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</sheetData>
      <sheetData sheetId="34">
        <row r="2"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2</v>
          </cell>
          <cell r="M6">
            <v>2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1</v>
          </cell>
          <cell r="AI6">
            <v>1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1</v>
          </cell>
          <cell r="AS6">
            <v>1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</row>
      </sheetData>
      <sheetData sheetId="35">
        <row r="2"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3E5656"/>
      </a:dk1>
      <a:lt1>
        <a:srgbClr val="F5F5F5"/>
      </a:lt1>
      <a:dk2>
        <a:srgbClr val="3E5656"/>
      </a:dk2>
      <a:lt2>
        <a:srgbClr val="F5F5F5"/>
      </a:lt2>
      <a:accent1>
        <a:srgbClr val="B0725D"/>
      </a:accent1>
      <a:accent2>
        <a:srgbClr val="8F3738"/>
      </a:accent2>
      <a:accent3>
        <a:srgbClr val="E79A3C"/>
      </a:accent3>
      <a:accent4>
        <a:srgbClr val="447874"/>
      </a:accent4>
      <a:accent5>
        <a:srgbClr val="D2D479"/>
      </a:accent5>
      <a:accent6>
        <a:srgbClr val="8B8948"/>
      </a:accent6>
      <a:hlink>
        <a:srgbClr val="8B8948"/>
      </a:hlink>
      <a:folHlink>
        <a:srgbClr val="8B8948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8909C"/>
    <outlinePr summaryBelow="0" summaryRight="0"/>
  </sheetPr>
  <dimension ref="A1:BM38"/>
  <sheetViews>
    <sheetView showGridLines="0" workbookViewId="0">
      <pane ySplit="3" topLeftCell="A4" activePane="bottomLeft" state="frozen"/>
      <selection pane="bottomLeft" activeCell="B5" sqref="B5"/>
    </sheetView>
  </sheetViews>
  <sheetFormatPr defaultColWidth="14.42578125" defaultRowHeight="15.75" customHeight="1"/>
  <cols>
    <col min="1" max="1" width="37.5703125" customWidth="1"/>
    <col min="2" max="3" width="7.28515625" customWidth="1"/>
    <col min="4" max="35" width="3.7109375" customWidth="1"/>
    <col min="36" max="65" width="5.140625" customWidth="1"/>
  </cols>
  <sheetData>
    <row r="1" spans="1:65" ht="15.75" customHeight="1">
      <c r="A1" s="3" t="s">
        <v>17</v>
      </c>
      <c r="B1" s="634" t="s">
        <v>18</v>
      </c>
      <c r="C1" s="635"/>
      <c r="D1" s="636">
        <f ca="1">TODAY()-1</f>
        <v>44487</v>
      </c>
      <c r="E1" s="635"/>
      <c r="F1" s="635"/>
      <c r="G1" s="635"/>
      <c r="H1" s="4"/>
      <c r="I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</row>
    <row r="2" spans="1:65" ht="12.75">
      <c r="A2" s="637" t="s">
        <v>19</v>
      </c>
      <c r="B2" s="632" t="s">
        <v>20</v>
      </c>
      <c r="C2" s="628"/>
      <c r="D2" s="632" t="s">
        <v>11</v>
      </c>
      <c r="E2" s="628"/>
      <c r="F2" s="630" t="s">
        <v>9</v>
      </c>
      <c r="G2" s="631"/>
      <c r="H2" s="632" t="s">
        <v>4</v>
      </c>
      <c r="I2" s="628"/>
      <c r="J2" s="630" t="s">
        <v>2</v>
      </c>
      <c r="K2" s="631"/>
      <c r="L2" s="632" t="s">
        <v>0</v>
      </c>
      <c r="M2" s="628"/>
      <c r="N2" s="630" t="s">
        <v>14</v>
      </c>
      <c r="O2" s="631"/>
      <c r="P2" s="632" t="s">
        <v>15</v>
      </c>
      <c r="Q2" s="628"/>
      <c r="R2" s="630" t="s">
        <v>1</v>
      </c>
      <c r="S2" s="631"/>
      <c r="T2" s="632" t="s">
        <v>3</v>
      </c>
      <c r="U2" s="628"/>
      <c r="V2" s="630" t="s">
        <v>8</v>
      </c>
      <c r="W2" s="631"/>
      <c r="X2" s="632" t="s">
        <v>5</v>
      </c>
      <c r="Y2" s="628"/>
      <c r="Z2" s="629" t="s">
        <v>6</v>
      </c>
      <c r="AA2" s="631"/>
      <c r="AB2" s="627" t="s">
        <v>12</v>
      </c>
      <c r="AC2" s="628"/>
      <c r="AD2" s="633" t="s">
        <v>7</v>
      </c>
      <c r="AE2" s="631"/>
      <c r="AF2" s="627" t="s">
        <v>10</v>
      </c>
      <c r="AG2" s="628"/>
      <c r="AH2" s="629" t="s">
        <v>13</v>
      </c>
      <c r="AI2" s="62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</row>
    <row r="3" spans="1:65" ht="12.75">
      <c r="A3" s="638"/>
      <c r="B3" s="9" t="s">
        <v>21</v>
      </c>
      <c r="C3" s="10" t="s">
        <v>22</v>
      </c>
      <c r="D3" s="11" t="s">
        <v>21</v>
      </c>
      <c r="E3" s="12" t="s">
        <v>22</v>
      </c>
      <c r="F3" s="9" t="s">
        <v>21</v>
      </c>
      <c r="G3" s="10" t="s">
        <v>22</v>
      </c>
      <c r="H3" s="11" t="s">
        <v>21</v>
      </c>
      <c r="I3" s="12" t="s">
        <v>22</v>
      </c>
      <c r="J3" s="9" t="s">
        <v>21</v>
      </c>
      <c r="K3" s="10" t="s">
        <v>22</v>
      </c>
      <c r="L3" s="11" t="s">
        <v>21</v>
      </c>
      <c r="M3" s="12" t="s">
        <v>22</v>
      </c>
      <c r="N3" s="9" t="s">
        <v>21</v>
      </c>
      <c r="O3" s="10" t="s">
        <v>22</v>
      </c>
      <c r="P3" s="11" t="s">
        <v>21</v>
      </c>
      <c r="Q3" s="12" t="s">
        <v>22</v>
      </c>
      <c r="R3" s="9" t="s">
        <v>21</v>
      </c>
      <c r="S3" s="10" t="s">
        <v>22</v>
      </c>
      <c r="T3" s="11" t="s">
        <v>21</v>
      </c>
      <c r="U3" s="12" t="s">
        <v>22</v>
      </c>
      <c r="V3" s="9" t="s">
        <v>21</v>
      </c>
      <c r="W3" s="10" t="s">
        <v>22</v>
      </c>
      <c r="X3" s="11" t="s">
        <v>21</v>
      </c>
      <c r="Y3" s="12" t="s">
        <v>22</v>
      </c>
      <c r="Z3" s="9" t="s">
        <v>21</v>
      </c>
      <c r="AA3" s="10" t="s">
        <v>22</v>
      </c>
      <c r="AB3" s="11" t="s">
        <v>21</v>
      </c>
      <c r="AC3" s="12" t="s">
        <v>22</v>
      </c>
      <c r="AD3" s="9" t="s">
        <v>21</v>
      </c>
      <c r="AE3" s="10" t="s">
        <v>22</v>
      </c>
      <c r="AF3" s="11" t="s">
        <v>21</v>
      </c>
      <c r="AG3" s="12" t="s">
        <v>22</v>
      </c>
      <c r="AH3" s="9" t="s">
        <v>21</v>
      </c>
      <c r="AI3" s="10" t="s">
        <v>22</v>
      </c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</row>
    <row r="4" spans="1:65" ht="12.75">
      <c r="A4" s="14" t="s">
        <v>23</v>
      </c>
      <c r="B4" s="15"/>
      <c r="C4" s="16"/>
      <c r="D4" s="17">
        <f>บช.น.!$B$6</f>
        <v>0</v>
      </c>
      <c r="E4" s="18">
        <f>บช.น.!$C$6</f>
        <v>0</v>
      </c>
      <c r="F4" s="19">
        <f>ภ.1!$B$6</f>
        <v>0</v>
      </c>
      <c r="G4" s="20">
        <f>ภ.1!$C$6</f>
        <v>0</v>
      </c>
      <c r="H4" s="17">
        <f>ภ.2!$B$6</f>
        <v>0</v>
      </c>
      <c r="I4" s="18">
        <f>ภ.2!$C$6</f>
        <v>0</v>
      </c>
      <c r="J4" s="19">
        <f>ภ.3!$B$6</f>
        <v>0</v>
      </c>
      <c r="K4" s="20">
        <f>ภ.3!$C$6</f>
        <v>0</v>
      </c>
      <c r="L4" s="17">
        <f>ภ.4!$B$6</f>
        <v>0</v>
      </c>
      <c r="M4" s="18">
        <f>ภ.4!$C$6</f>
        <v>0</v>
      </c>
      <c r="N4" s="19">
        <f>ภ.5!$B$6</f>
        <v>0</v>
      </c>
      <c r="O4" s="20">
        <f>ภ.5!$C$6</f>
        <v>0</v>
      </c>
      <c r="P4" s="17">
        <f>ภ.6!$B$6</f>
        <v>0</v>
      </c>
      <c r="Q4" s="18">
        <f>ภ.6!$C$6</f>
        <v>0</v>
      </c>
      <c r="R4" s="19">
        <f>ภ.7!$B$6</f>
        <v>0</v>
      </c>
      <c r="S4" s="20">
        <f>ภ.7!$C$6</f>
        <v>0</v>
      </c>
      <c r="T4" s="17">
        <f>ภ.8!$B$6</f>
        <v>0</v>
      </c>
      <c r="U4" s="18">
        <f>ภ.8!$C$6</f>
        <v>0</v>
      </c>
      <c r="V4" s="19">
        <f>ภ.9!$B$6</f>
        <v>0</v>
      </c>
      <c r="W4" s="20">
        <f>ภ.9!$C$6</f>
        <v>0</v>
      </c>
      <c r="X4" s="17">
        <f>บช.ก.!$C$6</f>
        <v>0</v>
      </c>
      <c r="Y4" s="18">
        <f>บช.ก.!$D$6</f>
        <v>0</v>
      </c>
      <c r="Z4" s="19">
        <f>บช.สอท.!$B$6</f>
        <v>0</v>
      </c>
      <c r="AA4" s="20">
        <f>บช.สอท.!$C$6</f>
        <v>0</v>
      </c>
      <c r="AB4" s="17">
        <f>บช.ปส.!$B$6</f>
        <v>0</v>
      </c>
      <c r="AC4" s="18">
        <f>บช.ปส.!$C$6</f>
        <v>0</v>
      </c>
      <c r="AD4" s="19">
        <f>สตม.!$B$6</f>
        <v>0</v>
      </c>
      <c r="AE4" s="20">
        <f>สตม.!$C$6</f>
        <v>0</v>
      </c>
      <c r="AF4" s="17">
        <f>บช.ทท.!$B$6</f>
        <v>0</v>
      </c>
      <c r="AG4" s="18">
        <f>บช.ทท.!$C$6</f>
        <v>0</v>
      </c>
      <c r="AH4" s="19">
        <f>บช.ตชด.!$B$6</f>
        <v>0</v>
      </c>
      <c r="AI4" s="20">
        <f>บช.ตชด.!$C$6</f>
        <v>0</v>
      </c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</row>
    <row r="5" spans="1:65" ht="12.75">
      <c r="A5" s="22" t="s">
        <v>24</v>
      </c>
      <c r="B5" s="19">
        <f t="shared" ref="B5:C5" ca="1" si="0">D5+F5+H5+J5+L5+N5+P5+R5+T5+V5+X5+Z5+AB5+AD5+AF5+AH5</f>
        <v>3</v>
      </c>
      <c r="C5" s="20">
        <f t="shared" ca="1" si="0"/>
        <v>51</v>
      </c>
      <c r="D5" s="17">
        <f ca="1">บช.น.!$B$7</f>
        <v>0</v>
      </c>
      <c r="E5" s="18">
        <f ca="1">บช.น.!$C$7</f>
        <v>0</v>
      </c>
      <c r="F5" s="19">
        <f ca="1">ภ.1!$B$7</f>
        <v>0</v>
      </c>
      <c r="G5" s="20">
        <f ca="1">ภ.1!$C$7</f>
        <v>0</v>
      </c>
      <c r="H5" s="17">
        <f ca="1">ภ.2!$B$7</f>
        <v>0</v>
      </c>
      <c r="I5" s="18">
        <f ca="1">ภ.2!$C$7</f>
        <v>0</v>
      </c>
      <c r="J5" s="19">
        <f ca="1">ภ.3!$B$7</f>
        <v>0</v>
      </c>
      <c r="K5" s="20">
        <f ca="1">ภ.3!$C$7</f>
        <v>0</v>
      </c>
      <c r="L5" s="17">
        <f ca="1">ภ.4!$B$7</f>
        <v>0</v>
      </c>
      <c r="M5" s="18">
        <f ca="1">ภ.4!$C$7</f>
        <v>0</v>
      </c>
      <c r="N5" s="19">
        <f ca="1">ภ.5!$B$7</f>
        <v>0</v>
      </c>
      <c r="O5" s="20">
        <f ca="1">ภ.5!$C$7</f>
        <v>0</v>
      </c>
      <c r="P5" s="17">
        <f ca="1">ภ.6!$B$7</f>
        <v>1</v>
      </c>
      <c r="Q5" s="18">
        <f ca="1">ภ.6!$C$7</f>
        <v>6</v>
      </c>
      <c r="R5" s="19">
        <f ca="1">ภ.7!$B$7</f>
        <v>2</v>
      </c>
      <c r="S5" s="20">
        <f ca="1">ภ.7!$C$7</f>
        <v>45</v>
      </c>
      <c r="T5" s="17">
        <f ca="1">ภ.8!$B$7</f>
        <v>0</v>
      </c>
      <c r="U5" s="18">
        <f ca="1">ภ.8!$C$7</f>
        <v>0</v>
      </c>
      <c r="V5" s="19">
        <f ca="1">ภ.9!$B$7</f>
        <v>0</v>
      </c>
      <c r="W5" s="20">
        <f ca="1">ภ.9!$C$7</f>
        <v>0</v>
      </c>
      <c r="X5" s="17">
        <f ca="1">บช.ก.!$C$7</f>
        <v>0</v>
      </c>
      <c r="Y5" s="18">
        <f ca="1">บช.ก.!$D$7</f>
        <v>0</v>
      </c>
      <c r="Z5" s="19">
        <f ca="1">บช.สอท.!$B$7</f>
        <v>0</v>
      </c>
      <c r="AA5" s="20">
        <f ca="1">บช.สอท.!$C$7</f>
        <v>0</v>
      </c>
      <c r="AB5" s="17">
        <f ca="1">บช.ปส.!$B$7</f>
        <v>0</v>
      </c>
      <c r="AC5" s="18">
        <f ca="1">บช.ปส.!$C$7</f>
        <v>0</v>
      </c>
      <c r="AD5" s="19">
        <f ca="1">สตม.!$B$7</f>
        <v>0</v>
      </c>
      <c r="AE5" s="20">
        <f ca="1">สตม.!$C$7</f>
        <v>0</v>
      </c>
      <c r="AF5" s="17">
        <f ca="1">บช.ทท.!$B$7</f>
        <v>0</v>
      </c>
      <c r="AG5" s="18">
        <f ca="1">บช.ทท.!$C$7</f>
        <v>0</v>
      </c>
      <c r="AH5" s="19">
        <f ca="1">บช.ตชด.!$B$7</f>
        <v>0</v>
      </c>
      <c r="AI5" s="20">
        <f ca="1">บช.ตชด.!$C$7</f>
        <v>0</v>
      </c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</row>
    <row r="6" spans="1:65" ht="12.75">
      <c r="A6" s="22" t="s">
        <v>25</v>
      </c>
      <c r="B6" s="19"/>
      <c r="C6" s="20"/>
      <c r="D6" s="17">
        <f>บช.น.!$B$8</f>
        <v>0</v>
      </c>
      <c r="E6" s="18">
        <f>บช.น.!$C$8</f>
        <v>0</v>
      </c>
      <c r="F6" s="19">
        <f>ภ.1!$B$8</f>
        <v>0</v>
      </c>
      <c r="G6" s="20">
        <f>ภ.1!$C$8</f>
        <v>0</v>
      </c>
      <c r="H6" s="17">
        <f>ภ.2!$B$8</f>
        <v>0</v>
      </c>
      <c r="I6" s="18">
        <f>ภ.2!$C$8</f>
        <v>0</v>
      </c>
      <c r="J6" s="19">
        <f>ภ.3!$B$8</f>
        <v>0</v>
      </c>
      <c r="K6" s="20">
        <f>ภ.3!$C$8</f>
        <v>0</v>
      </c>
      <c r="L6" s="17">
        <f>ภ.4!$B$8</f>
        <v>0</v>
      </c>
      <c r="M6" s="18">
        <f>ภ.4!$C$8</f>
        <v>0</v>
      </c>
      <c r="N6" s="19">
        <f>ภ.5!$B$8</f>
        <v>0</v>
      </c>
      <c r="O6" s="20">
        <f>ภ.5!$C$8</f>
        <v>0</v>
      </c>
      <c r="P6" s="17">
        <f>ภ.6!$B$8</f>
        <v>0</v>
      </c>
      <c r="Q6" s="18">
        <f>ภ.6!$C$8</f>
        <v>0</v>
      </c>
      <c r="R6" s="19">
        <f>ภ.7!$B$8</f>
        <v>0</v>
      </c>
      <c r="S6" s="20">
        <f>ภ.7!$C$8</f>
        <v>0</v>
      </c>
      <c r="T6" s="17">
        <f>ภ.8!$B$8</f>
        <v>0</v>
      </c>
      <c r="U6" s="18">
        <f>ภ.8!$C$8</f>
        <v>0</v>
      </c>
      <c r="V6" s="19">
        <f>ภ.9!$B$8</f>
        <v>0</v>
      </c>
      <c r="W6" s="20">
        <f>ภ.9!$C$8</f>
        <v>0</v>
      </c>
      <c r="X6" s="17">
        <f>บช.ก.!$C$8</f>
        <v>0</v>
      </c>
      <c r="Y6" s="18">
        <f>บช.ก.!$D$8</f>
        <v>0</v>
      </c>
      <c r="Z6" s="19">
        <f>บช.สอท.!$B$8</f>
        <v>0</v>
      </c>
      <c r="AA6" s="20">
        <f>บช.สอท.!$C$8</f>
        <v>0</v>
      </c>
      <c r="AB6" s="17">
        <f>บช.ปส.!$B$8</f>
        <v>0</v>
      </c>
      <c r="AC6" s="18">
        <f>บช.ปส.!$C$8</f>
        <v>0</v>
      </c>
      <c r="AD6" s="19">
        <f>สตม.!$B$8</f>
        <v>0</v>
      </c>
      <c r="AE6" s="20">
        <f>สตม.!$C$8</f>
        <v>0</v>
      </c>
      <c r="AF6" s="17">
        <f>บช.ทท.!$B$8</f>
        <v>0</v>
      </c>
      <c r="AG6" s="18">
        <f>บช.ทท.!$C$8</f>
        <v>0</v>
      </c>
      <c r="AH6" s="19">
        <f>บช.ตชด.!$B$8</f>
        <v>0</v>
      </c>
      <c r="AI6" s="20">
        <f>บช.ตชด.!$C$8</f>
        <v>0</v>
      </c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</row>
    <row r="7" spans="1:65" ht="12.75">
      <c r="A7" s="22" t="s">
        <v>26</v>
      </c>
      <c r="B7" s="19">
        <f t="shared" ref="B7:C7" ca="1" si="1">D7+F7+H7+J7+L7+N7+P7+R7+T7+V7+X7+Z7+AB7+AD7+AF7+AH7</f>
        <v>33</v>
      </c>
      <c r="C7" s="20">
        <f t="shared" ca="1" si="1"/>
        <v>33</v>
      </c>
      <c r="D7" s="17">
        <f ca="1">บช.น.!$B$9</f>
        <v>0</v>
      </c>
      <c r="E7" s="18">
        <f ca="1">บช.น.!$C$9</f>
        <v>0</v>
      </c>
      <c r="F7" s="19">
        <f ca="1">ภ.1!$B$9</f>
        <v>0</v>
      </c>
      <c r="G7" s="20">
        <f ca="1">ภ.1!$C$9</f>
        <v>0</v>
      </c>
      <c r="H7" s="17">
        <f ca="1">ภ.2!$B$9</f>
        <v>0</v>
      </c>
      <c r="I7" s="18">
        <f ca="1">ภ.2!$C$9</f>
        <v>0</v>
      </c>
      <c r="J7" s="19">
        <f ca="1">ภ.3!$B$9</f>
        <v>0</v>
      </c>
      <c r="K7" s="20">
        <f ca="1">ภ.3!$C$9</f>
        <v>0</v>
      </c>
      <c r="L7" s="17">
        <f ca="1">ภ.4!$B$9</f>
        <v>27</v>
      </c>
      <c r="M7" s="18">
        <f ca="1">ภ.4!$C$9</f>
        <v>27</v>
      </c>
      <c r="N7" s="19">
        <f ca="1">ภ.5!$B$9</f>
        <v>0</v>
      </c>
      <c r="O7" s="20">
        <f ca="1">ภ.5!$C$9</f>
        <v>0</v>
      </c>
      <c r="P7" s="17">
        <f ca="1">ภ.6!$B$9</f>
        <v>0</v>
      </c>
      <c r="Q7" s="18">
        <f ca="1">ภ.6!$C$9</f>
        <v>0</v>
      </c>
      <c r="R7" s="19">
        <f ca="1">ภ.7!$B$9</f>
        <v>1</v>
      </c>
      <c r="S7" s="20">
        <f ca="1">ภ.7!$C$9</f>
        <v>1</v>
      </c>
      <c r="T7" s="17">
        <f ca="1">ภ.8!$B$9</f>
        <v>0</v>
      </c>
      <c r="U7" s="18">
        <f ca="1">ภ.8!$C$9</f>
        <v>0</v>
      </c>
      <c r="V7" s="19">
        <f ca="1">ภ.9!$B$9</f>
        <v>2</v>
      </c>
      <c r="W7" s="20">
        <f ca="1">ภ.9!$C$9</f>
        <v>2</v>
      </c>
      <c r="X7" s="17">
        <f ca="1">บช.ก.!$C$9</f>
        <v>0</v>
      </c>
      <c r="Y7" s="18">
        <f ca="1">บช.ก.!$D$9</f>
        <v>0</v>
      </c>
      <c r="Z7" s="19">
        <f ca="1">บช.สอท.!$B$9</f>
        <v>2</v>
      </c>
      <c r="AA7" s="20">
        <f ca="1">บช.สอท.!$C$9</f>
        <v>2</v>
      </c>
      <c r="AB7" s="17">
        <f ca="1">บช.ปส.!$B$9</f>
        <v>0</v>
      </c>
      <c r="AC7" s="18">
        <f ca="1">บช.ปส.!$C$9</f>
        <v>0</v>
      </c>
      <c r="AD7" s="19">
        <f ca="1">สตม.!$B$9</f>
        <v>0</v>
      </c>
      <c r="AE7" s="20">
        <f ca="1">สตม.!$C$9</f>
        <v>0</v>
      </c>
      <c r="AF7" s="17">
        <f ca="1">บช.ทท.!$B$9</f>
        <v>1</v>
      </c>
      <c r="AG7" s="18">
        <f ca="1">บช.ทท.!$C$9</f>
        <v>1</v>
      </c>
      <c r="AH7" s="19">
        <f ca="1">บช.ตชด.!$B$9</f>
        <v>0</v>
      </c>
      <c r="AI7" s="20">
        <f ca="1">บช.ตชด.!$C$9</f>
        <v>0</v>
      </c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</row>
    <row r="8" spans="1:65" ht="12.75">
      <c r="A8" s="22" t="s">
        <v>27</v>
      </c>
      <c r="B8" s="19">
        <f t="shared" ref="B8:C8" ca="1" si="2">D8+F8+H8+J8+L8+N8+P8+R8+T8+V8+X8+Z8+AB8+AD8+AF8+AH8</f>
        <v>582</v>
      </c>
      <c r="C8" s="20">
        <f t="shared" ca="1" si="2"/>
        <v>585</v>
      </c>
      <c r="D8" s="17">
        <f ca="1">บช.น.!$B$10</f>
        <v>2</v>
      </c>
      <c r="E8" s="18">
        <f ca="1">บช.น.!$C$10</f>
        <v>2</v>
      </c>
      <c r="F8" s="19">
        <f ca="1">ภ.1!$B$10</f>
        <v>86</v>
      </c>
      <c r="G8" s="20">
        <f ca="1">ภ.1!$C$10</f>
        <v>87</v>
      </c>
      <c r="H8" s="17">
        <f ca="1">ภ.2!$B$10</f>
        <v>208</v>
      </c>
      <c r="I8" s="18">
        <f ca="1">ภ.2!$C$10</f>
        <v>208</v>
      </c>
      <c r="J8" s="19">
        <f ca="1">ภ.3!$B$10</f>
        <v>76</v>
      </c>
      <c r="K8" s="20">
        <f ca="1">ภ.3!$C$10</f>
        <v>76</v>
      </c>
      <c r="L8" s="17">
        <f ca="1">ภ.4!$B$10</f>
        <v>108</v>
      </c>
      <c r="M8" s="18">
        <f ca="1">ภ.4!$C$10</f>
        <v>108</v>
      </c>
      <c r="N8" s="19">
        <f ca="1">ภ.5!$B$10</f>
        <v>3</v>
      </c>
      <c r="O8" s="20">
        <f ca="1">ภ.5!$C$10</f>
        <v>3</v>
      </c>
      <c r="P8" s="17">
        <f ca="1">ภ.6!$B$10</f>
        <v>3</v>
      </c>
      <c r="Q8" s="18">
        <f ca="1">ภ.6!$C$10</f>
        <v>3</v>
      </c>
      <c r="R8" s="19">
        <f ca="1">ภ.7!$B$10</f>
        <v>53</v>
      </c>
      <c r="S8" s="20">
        <f ca="1">ภ.7!$C$10</f>
        <v>53</v>
      </c>
      <c r="T8" s="17">
        <f ca="1">ภ.8!$B$10</f>
        <v>20</v>
      </c>
      <c r="U8" s="18">
        <f ca="1">ภ.8!$C$10</f>
        <v>19</v>
      </c>
      <c r="V8" s="19">
        <f ca="1">ภ.9!$B$10</f>
        <v>3</v>
      </c>
      <c r="W8" s="20">
        <f ca="1">ภ.9!$C$10</f>
        <v>3</v>
      </c>
      <c r="X8" s="17">
        <f ca="1">บช.ก.!$C$10</f>
        <v>3</v>
      </c>
      <c r="Y8" s="18">
        <f ca="1">บช.ก.!$D$10</f>
        <v>6</v>
      </c>
      <c r="Z8" s="19">
        <f ca="1">บช.สอท.!$B$10</f>
        <v>17</v>
      </c>
      <c r="AA8" s="20">
        <f ca="1">บช.สอท.!$C$10</f>
        <v>17</v>
      </c>
      <c r="AB8" s="17">
        <f ca="1">บช.ปส.!$B$10</f>
        <v>0</v>
      </c>
      <c r="AC8" s="18">
        <f ca="1">บช.ปส.!$C$10</f>
        <v>0</v>
      </c>
      <c r="AD8" s="19">
        <f ca="1">สตม.!$B$10</f>
        <v>0</v>
      </c>
      <c r="AE8" s="20">
        <f ca="1">สตม.!$C$10</f>
        <v>0</v>
      </c>
      <c r="AF8" s="17">
        <f ca="1">บช.ทท.!$B$10</f>
        <v>0</v>
      </c>
      <c r="AG8" s="18">
        <f ca="1">บช.ทท.!$C$10</f>
        <v>0</v>
      </c>
      <c r="AH8" s="19">
        <f ca="1">บช.ตชด.!$B$10</f>
        <v>0</v>
      </c>
      <c r="AI8" s="20">
        <f ca="1">บช.ตชด.!$C$10</f>
        <v>0</v>
      </c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</row>
    <row r="9" spans="1:65" ht="12.75">
      <c r="A9" s="22" t="s">
        <v>28</v>
      </c>
      <c r="B9" s="19"/>
      <c r="C9" s="20"/>
      <c r="D9" s="17">
        <f>บช.น.!$B$11</f>
        <v>0</v>
      </c>
      <c r="E9" s="18">
        <f>บช.น.!$C$11</f>
        <v>0</v>
      </c>
      <c r="F9" s="19">
        <f>ภ.1!$B$11</f>
        <v>0</v>
      </c>
      <c r="G9" s="20">
        <f>ภ.1!$C$11</f>
        <v>0</v>
      </c>
      <c r="H9" s="17">
        <f>ภ.2!$B$11</f>
        <v>0</v>
      </c>
      <c r="I9" s="18">
        <f>ภ.2!$C$11</f>
        <v>0</v>
      </c>
      <c r="J9" s="19">
        <f>ภ.3!$B$11</f>
        <v>0</v>
      </c>
      <c r="K9" s="20">
        <f>ภ.3!$C$11</f>
        <v>0</v>
      </c>
      <c r="L9" s="17">
        <f>ภ.4!$B$11</f>
        <v>0</v>
      </c>
      <c r="M9" s="18">
        <f>ภ.4!$C$11</f>
        <v>0</v>
      </c>
      <c r="N9" s="19">
        <f>ภ.5!$B$11</f>
        <v>0</v>
      </c>
      <c r="O9" s="20">
        <f>ภ.5!$C$11</f>
        <v>0</v>
      </c>
      <c r="P9" s="17">
        <f>ภ.6!$B$11</f>
        <v>0</v>
      </c>
      <c r="Q9" s="18">
        <f>ภ.6!$C$11</f>
        <v>0</v>
      </c>
      <c r="R9" s="19">
        <f>ภ.7!$B$11</f>
        <v>0</v>
      </c>
      <c r="S9" s="20">
        <f>ภ.7!$C$11</f>
        <v>0</v>
      </c>
      <c r="T9" s="17">
        <f>ภ.8!$B$11</f>
        <v>0</v>
      </c>
      <c r="U9" s="18">
        <f>ภ.8!$C$11</f>
        <v>0</v>
      </c>
      <c r="V9" s="19">
        <f>ภ.9!$B$11</f>
        <v>0</v>
      </c>
      <c r="W9" s="20">
        <f>ภ.9!$C$11</f>
        <v>0</v>
      </c>
      <c r="X9" s="17">
        <f>บช.ก.!$C$11</f>
        <v>0</v>
      </c>
      <c r="Y9" s="18">
        <f>บช.ก.!$D$11</f>
        <v>0</v>
      </c>
      <c r="Z9" s="19">
        <f>บช.สอท.!$B$11</f>
        <v>0</v>
      </c>
      <c r="AA9" s="20">
        <f>บช.สอท.!$C$11</f>
        <v>0</v>
      </c>
      <c r="AB9" s="17">
        <f>บช.ปส.!$B$11</f>
        <v>0</v>
      </c>
      <c r="AC9" s="18">
        <f>บช.ปส.!$C$11</f>
        <v>0</v>
      </c>
      <c r="AD9" s="19">
        <f>สตม.!$B$11</f>
        <v>0</v>
      </c>
      <c r="AE9" s="20">
        <f>สตม.!$C$11</f>
        <v>0</v>
      </c>
      <c r="AF9" s="17">
        <f>บช.ทท.!$B$11</f>
        <v>0</v>
      </c>
      <c r="AG9" s="18">
        <f>บช.ทท.!$C$11</f>
        <v>0</v>
      </c>
      <c r="AH9" s="19">
        <f>บช.ตชด.!$B$11</f>
        <v>0</v>
      </c>
      <c r="AI9" s="20">
        <f>บช.ตชด.!$C$11</f>
        <v>0</v>
      </c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</row>
    <row r="10" spans="1:65" ht="12.75">
      <c r="A10" s="22" t="s">
        <v>29</v>
      </c>
      <c r="B10" s="19">
        <f t="shared" ref="B10:C10" ca="1" si="3">D10+F10+H10+J10+L10+N10+P10+R10+T10+V10+X10+Z10+AB10+AD10+AF10+AH10</f>
        <v>20</v>
      </c>
      <c r="C10" s="20">
        <f t="shared" ca="1" si="3"/>
        <v>36</v>
      </c>
      <c r="D10" s="17">
        <f ca="1">บช.น.!$B$12</f>
        <v>2</v>
      </c>
      <c r="E10" s="18">
        <f ca="1">บช.น.!$C$12</f>
        <v>8</v>
      </c>
      <c r="F10" s="19">
        <f ca="1">ภ.1!$B$12</f>
        <v>0</v>
      </c>
      <c r="G10" s="20">
        <f ca="1">ภ.1!$C$12</f>
        <v>0</v>
      </c>
      <c r="H10" s="17">
        <f ca="1">ภ.2!$B$12</f>
        <v>2</v>
      </c>
      <c r="I10" s="18">
        <f ca="1">ภ.2!$C$12</f>
        <v>6</v>
      </c>
      <c r="J10" s="19">
        <f ca="1">ภ.3!$B$12</f>
        <v>0</v>
      </c>
      <c r="K10" s="20">
        <f ca="1">ภ.3!$C$12</f>
        <v>0</v>
      </c>
      <c r="L10" s="17">
        <f ca="1">ภ.4!$B$12</f>
        <v>2</v>
      </c>
      <c r="M10" s="18">
        <f ca="1">ภ.4!$C$12</f>
        <v>2</v>
      </c>
      <c r="N10" s="19">
        <f ca="1">ภ.5!$B$12</f>
        <v>0</v>
      </c>
      <c r="O10" s="20">
        <f ca="1">ภ.5!$C$12</f>
        <v>0</v>
      </c>
      <c r="P10" s="17">
        <f ca="1">ภ.6!$B$12</f>
        <v>0</v>
      </c>
      <c r="Q10" s="18">
        <f ca="1">ภ.6!$C$12</f>
        <v>0</v>
      </c>
      <c r="R10" s="19">
        <f ca="1">ภ.7!$B$12</f>
        <v>0</v>
      </c>
      <c r="S10" s="20">
        <f ca="1">ภ.7!$C$12</f>
        <v>0</v>
      </c>
      <c r="T10" s="17">
        <f ca="1">ภ.8!$B$12</f>
        <v>0</v>
      </c>
      <c r="U10" s="18">
        <f ca="1">ภ.8!$C$12</f>
        <v>0</v>
      </c>
      <c r="V10" s="19">
        <f ca="1">ภ.9!$B$12</f>
        <v>4</v>
      </c>
      <c r="W10" s="20">
        <f ca="1">ภ.9!$C$12</f>
        <v>5</v>
      </c>
      <c r="X10" s="17">
        <f ca="1">บช.ก.!$C$12</f>
        <v>0</v>
      </c>
      <c r="Y10" s="18">
        <f ca="1">บช.ก.!$D$12</f>
        <v>0</v>
      </c>
      <c r="Z10" s="19">
        <f ca="1">บช.สอท.!$B$12</f>
        <v>6</v>
      </c>
      <c r="AA10" s="20">
        <f ca="1">บช.สอท.!$C$12</f>
        <v>10</v>
      </c>
      <c r="AB10" s="17">
        <f ca="1">บช.ปส.!$B$12</f>
        <v>1</v>
      </c>
      <c r="AC10" s="18">
        <f ca="1">บช.ปส.!$C$12</f>
        <v>2</v>
      </c>
      <c r="AD10" s="19">
        <f ca="1">สตม.!$B$12</f>
        <v>2</v>
      </c>
      <c r="AE10" s="20">
        <f ca="1">สตม.!$C$12</f>
        <v>2</v>
      </c>
      <c r="AF10" s="17">
        <f ca="1">บช.ทท.!$B$12</f>
        <v>1</v>
      </c>
      <c r="AG10" s="18">
        <f ca="1">บช.ทท.!$C$12</f>
        <v>1</v>
      </c>
      <c r="AH10" s="19">
        <f ca="1">บช.ตชด.!$B$12</f>
        <v>0</v>
      </c>
      <c r="AI10" s="20">
        <f ca="1">บช.ตชด.!$C$12</f>
        <v>0</v>
      </c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</row>
    <row r="11" spans="1:65" ht="12.75">
      <c r="A11" s="22" t="s">
        <v>30</v>
      </c>
      <c r="B11" s="19">
        <f t="shared" ref="B11:C11" ca="1" si="4">D11+F11+H11+J11+L11+N11+P11+R11+T11+V11+X11+Z11+AB11+AD11+AF11+AH11</f>
        <v>308</v>
      </c>
      <c r="C11" s="20">
        <f t="shared" ca="1" si="4"/>
        <v>327</v>
      </c>
      <c r="D11" s="17">
        <f ca="1">บช.น.!$B$13</f>
        <v>38</v>
      </c>
      <c r="E11" s="18">
        <f ca="1">บช.น.!$C$13</f>
        <v>38</v>
      </c>
      <c r="F11" s="19">
        <f ca="1">ภ.1!$B$13</f>
        <v>93</v>
      </c>
      <c r="G11" s="20">
        <f ca="1">ภ.1!$C$13</f>
        <v>99</v>
      </c>
      <c r="H11" s="17">
        <f ca="1">ภ.2!$B$13</f>
        <v>18</v>
      </c>
      <c r="I11" s="18">
        <f ca="1">ภ.2!$C$13</f>
        <v>22</v>
      </c>
      <c r="J11" s="19">
        <f ca="1">ภ.3!$B$13</f>
        <v>53</v>
      </c>
      <c r="K11" s="20">
        <f ca="1">ภ.3!$C$13</f>
        <v>53</v>
      </c>
      <c r="L11" s="17">
        <f ca="1">ภ.4!$B$13</f>
        <v>49</v>
      </c>
      <c r="M11" s="18">
        <f ca="1">ภ.4!$C$13</f>
        <v>49</v>
      </c>
      <c r="N11" s="19">
        <f ca="1">ภ.5!$B$13</f>
        <v>2</v>
      </c>
      <c r="O11" s="20">
        <f ca="1">ภ.5!$C$13</f>
        <v>2</v>
      </c>
      <c r="P11" s="17">
        <f ca="1">ภ.6!$B$13</f>
        <v>4</v>
      </c>
      <c r="Q11" s="18">
        <f ca="1">ภ.6!$C$13</f>
        <v>4</v>
      </c>
      <c r="R11" s="19">
        <f ca="1">ภ.7!$B$13</f>
        <v>23</v>
      </c>
      <c r="S11" s="20">
        <f ca="1">ภ.7!$C$13</f>
        <v>23</v>
      </c>
      <c r="T11" s="17">
        <f ca="1">ภ.8!$B$13</f>
        <v>3</v>
      </c>
      <c r="U11" s="18">
        <f ca="1">ภ.8!$C$13</f>
        <v>3</v>
      </c>
      <c r="V11" s="19">
        <f ca="1">ภ.9!$B$13</f>
        <v>3</v>
      </c>
      <c r="W11" s="20">
        <f ca="1">ภ.9!$C$13</f>
        <v>6</v>
      </c>
      <c r="X11" s="17">
        <f ca="1">บช.ก.!$C$13</f>
        <v>5</v>
      </c>
      <c r="Y11" s="18">
        <f ca="1">บช.ก.!$D$13</f>
        <v>5</v>
      </c>
      <c r="Z11" s="19">
        <f ca="1">บช.สอท.!$B$13</f>
        <v>14</v>
      </c>
      <c r="AA11" s="20">
        <f ca="1">บช.สอท.!$C$13</f>
        <v>20</v>
      </c>
      <c r="AB11" s="17">
        <f ca="1">บช.ปส.!$B$13</f>
        <v>0</v>
      </c>
      <c r="AC11" s="18">
        <f ca="1">บช.ปส.!$C$13</f>
        <v>0</v>
      </c>
      <c r="AD11" s="19">
        <f ca="1">สตม.!$B$13</f>
        <v>2</v>
      </c>
      <c r="AE11" s="20">
        <f ca="1">สตม.!$C$13</f>
        <v>2</v>
      </c>
      <c r="AF11" s="17">
        <f ca="1">บช.ทท.!$B$13</f>
        <v>1</v>
      </c>
      <c r="AG11" s="18">
        <f ca="1">บช.ทท.!$C$13</f>
        <v>1</v>
      </c>
      <c r="AH11" s="19">
        <f ca="1">บช.ตชด.!$B$13</f>
        <v>0</v>
      </c>
      <c r="AI11" s="20">
        <f ca="1">บช.ตชด.!$C$13</f>
        <v>0</v>
      </c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</row>
    <row r="12" spans="1:65" ht="12.75">
      <c r="A12" s="22" t="s">
        <v>31</v>
      </c>
      <c r="B12" s="19">
        <f t="shared" ref="B12:C12" ca="1" si="5">D12+F12+H12+J12+L12+N12+P12+R12+T12+V12+X12+Z12+AB12+AD12+AF12+AH12</f>
        <v>1237</v>
      </c>
      <c r="C12" s="20">
        <f t="shared" ca="1" si="5"/>
        <v>2256</v>
      </c>
      <c r="D12" s="17">
        <f ca="1">บช.น.!$B$14</f>
        <v>29</v>
      </c>
      <c r="E12" s="18">
        <f ca="1">บช.น.!$C$14</f>
        <v>67</v>
      </c>
      <c r="F12" s="19">
        <f ca="1">ภ.1!$B$14</f>
        <v>42</v>
      </c>
      <c r="G12" s="20">
        <f ca="1">ภ.1!$C$14</f>
        <v>156</v>
      </c>
      <c r="H12" s="17">
        <f ca="1">ภ.2!$B$14</f>
        <v>99</v>
      </c>
      <c r="I12" s="18">
        <f ca="1">ภ.2!$C$14</f>
        <v>213</v>
      </c>
      <c r="J12" s="19">
        <f ca="1">ภ.3!$B$14</f>
        <v>420</v>
      </c>
      <c r="K12" s="20">
        <f ca="1">ภ.3!$C$14</f>
        <v>529</v>
      </c>
      <c r="L12" s="17">
        <f ca="1">ภ.4!$B$14</f>
        <v>469</v>
      </c>
      <c r="M12" s="18">
        <f ca="1">ภ.4!$C$14</f>
        <v>777</v>
      </c>
      <c r="N12" s="19">
        <f ca="1">ภ.5!$B$14</f>
        <v>7</v>
      </c>
      <c r="O12" s="20">
        <f ca="1">ภ.5!$C$14</f>
        <v>27</v>
      </c>
      <c r="P12" s="17">
        <f ca="1">ภ.6!$B$14</f>
        <v>11</v>
      </c>
      <c r="Q12" s="18">
        <f ca="1">ภ.6!$C$14</f>
        <v>60</v>
      </c>
      <c r="R12" s="19">
        <f ca="1">ภ.7!$B$14</f>
        <v>27</v>
      </c>
      <c r="S12" s="20">
        <f ca="1">ภ.7!$C$14</f>
        <v>85</v>
      </c>
      <c r="T12" s="17">
        <f ca="1">ภ.8!$B$14</f>
        <v>81</v>
      </c>
      <c r="U12" s="18">
        <f ca="1">ภ.8!$C$14</f>
        <v>190</v>
      </c>
      <c r="V12" s="19">
        <f ca="1">ภ.9!$B$14</f>
        <v>16</v>
      </c>
      <c r="W12" s="20">
        <f ca="1">ภ.9!$C$14</f>
        <v>53</v>
      </c>
      <c r="X12" s="17">
        <f ca="1">บช.ก.!$C$14</f>
        <v>17</v>
      </c>
      <c r="Y12" s="18">
        <f ca="1">บช.ก.!$D$14</f>
        <v>46</v>
      </c>
      <c r="Z12" s="19">
        <f ca="1">บช.สอท.!$B$14</f>
        <v>10</v>
      </c>
      <c r="AA12" s="20">
        <f ca="1">บช.สอท.!$C$14</f>
        <v>20</v>
      </c>
      <c r="AB12" s="17">
        <f ca="1">บช.ปส.!$B$14</f>
        <v>0</v>
      </c>
      <c r="AC12" s="18">
        <f ca="1">บช.ปส.!$C$14</f>
        <v>0</v>
      </c>
      <c r="AD12" s="19">
        <f ca="1">สตม.!$B$14</f>
        <v>6</v>
      </c>
      <c r="AE12" s="20">
        <f ca="1">สตม.!$C$14</f>
        <v>25</v>
      </c>
      <c r="AF12" s="17">
        <f ca="1">บช.ทท.!$B$14</f>
        <v>3</v>
      </c>
      <c r="AG12" s="18">
        <f ca="1">บช.ทท.!$C$14</f>
        <v>8</v>
      </c>
      <c r="AH12" s="19">
        <f ca="1">บช.ตชด.!$B$14</f>
        <v>0</v>
      </c>
      <c r="AI12" s="20">
        <f ca="1">บช.ตชด.!$C$14</f>
        <v>0</v>
      </c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</row>
    <row r="13" spans="1:65" ht="12.75">
      <c r="A13" s="24" t="s">
        <v>32</v>
      </c>
      <c r="B13" s="25">
        <f t="shared" ref="B13:C13" ca="1" si="6">D13+F13+H13+J13+L13+N13+P13+R13+T13+V13+X13+Z13+AB13+AD13+AF13+AH13</f>
        <v>2183</v>
      </c>
      <c r="C13" s="26">
        <f t="shared" ca="1" si="6"/>
        <v>3288</v>
      </c>
      <c r="D13" s="25">
        <f ca="1">บช.น.!$B$15</f>
        <v>71</v>
      </c>
      <c r="E13" s="26">
        <f ca="1">บช.น.!$C$15</f>
        <v>115</v>
      </c>
      <c r="F13" s="25">
        <f ca="1">ภ.1!$B$15</f>
        <v>221</v>
      </c>
      <c r="G13" s="26">
        <f ca="1">ภ.1!$C$15</f>
        <v>342</v>
      </c>
      <c r="H13" s="25">
        <f ca="1">ภ.2!$B$15</f>
        <v>327</v>
      </c>
      <c r="I13" s="26">
        <f ca="1">ภ.2!$C$15</f>
        <v>449</v>
      </c>
      <c r="J13" s="25">
        <f ca="1">ภ.3!$B$15</f>
        <v>549</v>
      </c>
      <c r="K13" s="26">
        <f ca="1">ภ.3!$C$15</f>
        <v>658</v>
      </c>
      <c r="L13" s="25">
        <f ca="1">ภ.4!$B$15</f>
        <v>655</v>
      </c>
      <c r="M13" s="26">
        <f ca="1">ภ.4!$C$15</f>
        <v>963</v>
      </c>
      <c r="N13" s="25">
        <f ca="1">ภ.5!$B$15</f>
        <v>12</v>
      </c>
      <c r="O13" s="26">
        <f ca="1">ภ.5!$C$15</f>
        <v>32</v>
      </c>
      <c r="P13" s="25">
        <f ca="1">ภ.6!$B$15</f>
        <v>19</v>
      </c>
      <c r="Q13" s="26">
        <f ca="1">ภ.6!$C$15</f>
        <v>73</v>
      </c>
      <c r="R13" s="25">
        <f ca="1">ภ.7!$B$15</f>
        <v>106</v>
      </c>
      <c r="S13" s="26">
        <f ca="1">ภ.7!$C$15</f>
        <v>207</v>
      </c>
      <c r="T13" s="25">
        <f ca="1">ภ.8!$B$15</f>
        <v>104</v>
      </c>
      <c r="U13" s="26">
        <f ca="1">ภ.8!$C$15</f>
        <v>212</v>
      </c>
      <c r="V13" s="25">
        <f ca="1">ภ.9!$B$15</f>
        <v>28</v>
      </c>
      <c r="W13" s="26">
        <f ca="1">ภ.9!$C$15</f>
        <v>69</v>
      </c>
      <c r="X13" s="25">
        <f ca="1">บช.ก.!$C$15</f>
        <v>25</v>
      </c>
      <c r="Y13" s="26">
        <f ca="1">บช.ก.!$D$15</f>
        <v>57</v>
      </c>
      <c r="Z13" s="25">
        <f ca="1">บช.สอท.!$B$15</f>
        <v>49</v>
      </c>
      <c r="AA13" s="26">
        <f ca="1">บช.สอท.!$C$15</f>
        <v>69</v>
      </c>
      <c r="AB13" s="25">
        <f ca="1">บช.ปส.!$B$15</f>
        <v>1</v>
      </c>
      <c r="AC13" s="26">
        <f ca="1">บช.ปส.!$C$15</f>
        <v>2</v>
      </c>
      <c r="AD13" s="25">
        <f ca="1">สตม.!$B$15</f>
        <v>10</v>
      </c>
      <c r="AE13" s="26">
        <f ca="1">สตม.!$C$15</f>
        <v>29</v>
      </c>
      <c r="AF13" s="25">
        <f ca="1">บช.ทท.!$B$15</f>
        <v>6</v>
      </c>
      <c r="AG13" s="26">
        <f ca="1">บช.ทท.!$C$15</f>
        <v>11</v>
      </c>
      <c r="AH13" s="25">
        <f ca="1">บช.ตชด.!$B$15</f>
        <v>0</v>
      </c>
      <c r="AI13" s="26">
        <f ca="1">บช.ตชด.!$C$15</f>
        <v>0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</row>
    <row r="14" spans="1:65" ht="12.75">
      <c r="A14" s="14" t="s">
        <v>33</v>
      </c>
      <c r="B14" s="27"/>
      <c r="C14" s="28"/>
      <c r="D14" s="29">
        <f>บช.น.!$B$16</f>
        <v>0</v>
      </c>
      <c r="E14" s="30">
        <f>บช.น.!$C$16</f>
        <v>0</v>
      </c>
      <c r="F14" s="27">
        <f>ภ.1!$B$16</f>
        <v>0</v>
      </c>
      <c r="G14" s="28">
        <f>ภ.1!$C$16</f>
        <v>0</v>
      </c>
      <c r="H14" s="29">
        <f>ภ.2!$B$16</f>
        <v>0</v>
      </c>
      <c r="I14" s="30">
        <f>ภ.2!$C$16</f>
        <v>0</v>
      </c>
      <c r="J14" s="27">
        <f>ภ.3!$B$16</f>
        <v>0</v>
      </c>
      <c r="K14" s="28">
        <f>ภ.3!$C$16</f>
        <v>0</v>
      </c>
      <c r="L14" s="29">
        <f>ภ.4!$B$16</f>
        <v>0</v>
      </c>
      <c r="M14" s="30">
        <f>ภ.4!$C$16</f>
        <v>0</v>
      </c>
      <c r="N14" s="27">
        <f>ภ.5!$B$16</f>
        <v>0</v>
      </c>
      <c r="O14" s="28">
        <f>ภ.5!$C$16</f>
        <v>0</v>
      </c>
      <c r="P14" s="29">
        <f>ภ.6!$B$16</f>
        <v>0</v>
      </c>
      <c r="Q14" s="30">
        <f>ภ.6!$C$16</f>
        <v>0</v>
      </c>
      <c r="R14" s="27">
        <f>ภ.7!$B$16</f>
        <v>0</v>
      </c>
      <c r="S14" s="28">
        <f>ภ.7!$C$16</f>
        <v>0</v>
      </c>
      <c r="T14" s="29">
        <f>ภ.8!$B$16</f>
        <v>0</v>
      </c>
      <c r="U14" s="30">
        <f>ภ.8!$C$16</f>
        <v>0</v>
      </c>
      <c r="V14" s="27">
        <f>ภ.9!$B$16</f>
        <v>0</v>
      </c>
      <c r="W14" s="28">
        <f>ภ.9!$C$16</f>
        <v>0</v>
      </c>
      <c r="X14" s="29">
        <f>บช.ก.!$C$16</f>
        <v>0</v>
      </c>
      <c r="Y14" s="30">
        <f>บช.ก.!$D$16</f>
        <v>0</v>
      </c>
      <c r="Z14" s="27">
        <f>บช.สอท.!$B$16</f>
        <v>0</v>
      </c>
      <c r="AA14" s="28">
        <f>บช.สอท.!$C$16</f>
        <v>0</v>
      </c>
      <c r="AB14" s="29">
        <f>บช.ปส.!$B$16</f>
        <v>0</v>
      </c>
      <c r="AC14" s="30">
        <f>บช.ปส.!$C$16</f>
        <v>0</v>
      </c>
      <c r="AD14" s="27">
        <f>สตม.!$B$16</f>
        <v>0</v>
      </c>
      <c r="AE14" s="28">
        <f>สตม.!$C$16</f>
        <v>0</v>
      </c>
      <c r="AF14" s="29">
        <f>บช.ทท.!$B$16</f>
        <v>0</v>
      </c>
      <c r="AG14" s="30">
        <f>บช.ทท.!$C$16</f>
        <v>0</v>
      </c>
      <c r="AH14" s="27">
        <f>บช.ตชด.!$B$16</f>
        <v>0</v>
      </c>
      <c r="AI14" s="28">
        <f>บช.ตชด.!$C$16</f>
        <v>0</v>
      </c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</row>
    <row r="15" spans="1:65" ht="12.75">
      <c r="A15" s="22" t="s">
        <v>34</v>
      </c>
      <c r="B15" s="19">
        <f t="shared" ref="B15:C15" ca="1" si="7">D15+F15+H15+J15+L15+N15+P15+R15+T15+V15+X15+Z15+AB15+AD15+AF15+AH15</f>
        <v>336</v>
      </c>
      <c r="C15" s="20">
        <f t="shared" ca="1" si="7"/>
        <v>275</v>
      </c>
      <c r="D15" s="17">
        <f ca="1">บช.น.!$B$17</f>
        <v>1</v>
      </c>
      <c r="E15" s="18">
        <f ca="1">บช.น.!$C$17</f>
        <v>1</v>
      </c>
      <c r="F15" s="19">
        <f ca="1">ภ.1!$B$17</f>
        <v>30</v>
      </c>
      <c r="G15" s="20">
        <f ca="1">ภ.1!$C$17</f>
        <v>30</v>
      </c>
      <c r="H15" s="17">
        <f ca="1">ภ.2!$B$17</f>
        <v>28</v>
      </c>
      <c r="I15" s="18">
        <f ca="1">ภ.2!$C$17</f>
        <v>28</v>
      </c>
      <c r="J15" s="19">
        <f ca="1">ภ.3!$B$17</f>
        <v>25</v>
      </c>
      <c r="K15" s="20">
        <f ca="1">ภ.3!$C$17</f>
        <v>25</v>
      </c>
      <c r="L15" s="17">
        <f ca="1">ภ.4!$B$17</f>
        <v>97</v>
      </c>
      <c r="M15" s="18">
        <f ca="1">ภ.4!$C$17</f>
        <v>96</v>
      </c>
      <c r="N15" s="19">
        <f ca="1">ภ.5!$B$17</f>
        <v>77</v>
      </c>
      <c r="O15" s="20">
        <f ca="1">ภ.5!$C$17</f>
        <v>14</v>
      </c>
      <c r="P15" s="17">
        <f ca="1">ภ.6!$B$17</f>
        <v>3</v>
      </c>
      <c r="Q15" s="18">
        <f ca="1">ภ.6!$C$17</f>
        <v>3</v>
      </c>
      <c r="R15" s="19">
        <f ca="1">ภ.7!$B$17</f>
        <v>12</v>
      </c>
      <c r="S15" s="20">
        <f ca="1">ภ.7!$C$17</f>
        <v>12</v>
      </c>
      <c r="T15" s="17">
        <f ca="1">ภ.8!$B$17</f>
        <v>37</v>
      </c>
      <c r="U15" s="18">
        <f ca="1">ภ.8!$C$17</f>
        <v>38</v>
      </c>
      <c r="V15" s="19">
        <f ca="1">ภ.9!$B$17</f>
        <v>7</v>
      </c>
      <c r="W15" s="20">
        <f ca="1">ภ.9!$C$17</f>
        <v>7</v>
      </c>
      <c r="X15" s="17">
        <f ca="1">บช.ก.!$C$17</f>
        <v>4</v>
      </c>
      <c r="Y15" s="18">
        <f ca="1">บช.ก.!$D$17</f>
        <v>5</v>
      </c>
      <c r="Z15" s="19">
        <f ca="1">บช.สอท.!$B$17</f>
        <v>2</v>
      </c>
      <c r="AA15" s="20">
        <f ca="1">บช.สอท.!$C$17</f>
        <v>2</v>
      </c>
      <c r="AB15" s="17">
        <f ca="1">บช.ปส.!$B$17</f>
        <v>0</v>
      </c>
      <c r="AC15" s="18">
        <f ca="1">บช.ปส.!$C$17</f>
        <v>0</v>
      </c>
      <c r="AD15" s="19">
        <f ca="1">สตม.!$B$17</f>
        <v>7</v>
      </c>
      <c r="AE15" s="20">
        <f ca="1">สตม.!$C$17</f>
        <v>8</v>
      </c>
      <c r="AF15" s="17">
        <f ca="1">บช.ทท.!$B$17</f>
        <v>6</v>
      </c>
      <c r="AG15" s="18">
        <f ca="1">บช.ทท.!$C$17</f>
        <v>6</v>
      </c>
      <c r="AH15" s="19">
        <f ca="1">บช.ตชด.!$B$17</f>
        <v>0</v>
      </c>
      <c r="AI15" s="20">
        <f ca="1">บช.ตชด.!$C$17</f>
        <v>0</v>
      </c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</row>
    <row r="16" spans="1:65" ht="12.75">
      <c r="A16" s="22" t="s">
        <v>35</v>
      </c>
      <c r="B16" s="19">
        <f t="shared" ref="B16:C16" ca="1" si="8">D16+F16+H16+J16+L16+N16+P16+R16+T16+V16+X16+Z16+AB16+AD16+AF16+AH16</f>
        <v>0</v>
      </c>
      <c r="C16" s="20">
        <f t="shared" ca="1" si="8"/>
        <v>0</v>
      </c>
      <c r="D16" s="17">
        <f ca="1">บช.น.!$B$18</f>
        <v>0</v>
      </c>
      <c r="E16" s="18">
        <f ca="1">บช.น.!$C$18</f>
        <v>0</v>
      </c>
      <c r="F16" s="19">
        <f ca="1">ภ.1!$B$18</f>
        <v>0</v>
      </c>
      <c r="G16" s="20">
        <f ca="1">ภ.1!$C$18</f>
        <v>0</v>
      </c>
      <c r="H16" s="17">
        <f ca="1">ภ.2!$B$18</f>
        <v>0</v>
      </c>
      <c r="I16" s="18">
        <f ca="1">ภ.2!$C$18</f>
        <v>0</v>
      </c>
      <c r="J16" s="19">
        <f ca="1">ภ.3!$B$18</f>
        <v>0</v>
      </c>
      <c r="K16" s="20">
        <f ca="1">ภ.3!$C$18</f>
        <v>0</v>
      </c>
      <c r="L16" s="17">
        <f ca="1">ภ.4!$B$18</f>
        <v>0</v>
      </c>
      <c r="M16" s="18">
        <f ca="1">ภ.4!$C$18</f>
        <v>0</v>
      </c>
      <c r="N16" s="19">
        <f ca="1">ภ.5!$B$18</f>
        <v>0</v>
      </c>
      <c r="O16" s="20">
        <f ca="1">ภ.5!$C$18</f>
        <v>0</v>
      </c>
      <c r="P16" s="17">
        <f ca="1">ภ.6!$B$18</f>
        <v>0</v>
      </c>
      <c r="Q16" s="18">
        <f ca="1">ภ.6!$C$18</f>
        <v>0</v>
      </c>
      <c r="R16" s="19">
        <f ca="1">ภ.7!$B$18</f>
        <v>0</v>
      </c>
      <c r="S16" s="20">
        <f ca="1">ภ.7!$C$18</f>
        <v>0</v>
      </c>
      <c r="T16" s="17">
        <f ca="1">ภ.8!$B$18</f>
        <v>0</v>
      </c>
      <c r="U16" s="18">
        <f ca="1">ภ.8!$C$18</f>
        <v>0</v>
      </c>
      <c r="V16" s="19">
        <f ca="1">ภ.9!$B$18</f>
        <v>0</v>
      </c>
      <c r="W16" s="20">
        <f ca="1">ภ.9!$C$18</f>
        <v>0</v>
      </c>
      <c r="X16" s="17">
        <f ca="1">บช.ก.!$C$18</f>
        <v>0</v>
      </c>
      <c r="Y16" s="18">
        <f ca="1">บช.ก.!$D$18</f>
        <v>0</v>
      </c>
      <c r="Z16" s="19">
        <f ca="1">บช.สอท.!$B$18</f>
        <v>0</v>
      </c>
      <c r="AA16" s="20">
        <f ca="1">บช.สอท.!$C$18</f>
        <v>0</v>
      </c>
      <c r="AB16" s="17">
        <f ca="1">บช.ปส.!$B$18</f>
        <v>0</v>
      </c>
      <c r="AC16" s="18">
        <f ca="1">บช.ปส.!$C$18</f>
        <v>0</v>
      </c>
      <c r="AD16" s="19">
        <f ca="1">สตม.!$B$18</f>
        <v>0</v>
      </c>
      <c r="AE16" s="20">
        <f ca="1">สตม.!$C$18</f>
        <v>0</v>
      </c>
      <c r="AF16" s="17">
        <f ca="1">บช.ทท.!$B$18</f>
        <v>0</v>
      </c>
      <c r="AG16" s="18">
        <f ca="1">บช.ทท.!$C$18</f>
        <v>0</v>
      </c>
      <c r="AH16" s="19">
        <f ca="1">บช.ตชด.!$B$18</f>
        <v>0</v>
      </c>
      <c r="AI16" s="20">
        <f ca="1">บช.ตชด.!$C$18</f>
        <v>0</v>
      </c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</row>
    <row r="17" spans="1:65" ht="12.75">
      <c r="A17" s="22" t="s">
        <v>36</v>
      </c>
      <c r="B17" s="19">
        <f t="shared" ref="B17:C17" ca="1" si="9">D17+F17+H17+J17+L17+N17+P17+R17+T17+V17+X17+Z17+AB17+AD17+AF17+AH17</f>
        <v>1</v>
      </c>
      <c r="C17" s="20">
        <f t="shared" ca="1" si="9"/>
        <v>0</v>
      </c>
      <c r="D17" s="17">
        <f ca="1">บช.น.!$B$19</f>
        <v>0</v>
      </c>
      <c r="E17" s="18">
        <f ca="1">บช.น.!$C$19</f>
        <v>0</v>
      </c>
      <c r="F17" s="19">
        <f ca="1">ภ.1!$B$19</f>
        <v>0</v>
      </c>
      <c r="G17" s="20">
        <f ca="1">ภ.1!$C$19</f>
        <v>0</v>
      </c>
      <c r="H17" s="17">
        <f ca="1">ภ.2!$B$19</f>
        <v>0</v>
      </c>
      <c r="I17" s="18">
        <f ca="1">ภ.2!$C$19</f>
        <v>0</v>
      </c>
      <c r="J17" s="19">
        <f ca="1">ภ.3!$B$19</f>
        <v>0</v>
      </c>
      <c r="K17" s="20">
        <f ca="1">ภ.3!$C$19</f>
        <v>0</v>
      </c>
      <c r="L17" s="17">
        <f ca="1">ภ.4!$B$19</f>
        <v>0</v>
      </c>
      <c r="M17" s="18">
        <f ca="1">ภ.4!$C$19</f>
        <v>0</v>
      </c>
      <c r="N17" s="19">
        <f ca="1">ภ.5!$B$19</f>
        <v>0</v>
      </c>
      <c r="O17" s="20">
        <f ca="1">ภ.5!$C$19</f>
        <v>0</v>
      </c>
      <c r="P17" s="17">
        <f ca="1">ภ.6!$B$19</f>
        <v>0</v>
      </c>
      <c r="Q17" s="18">
        <f ca="1">ภ.6!$C$19</f>
        <v>0</v>
      </c>
      <c r="R17" s="19">
        <f ca="1">ภ.7!$B$19</f>
        <v>0</v>
      </c>
      <c r="S17" s="20">
        <f ca="1">ภ.7!$C$19</f>
        <v>0</v>
      </c>
      <c r="T17" s="17">
        <f ca="1">ภ.8!$B$19</f>
        <v>0</v>
      </c>
      <c r="U17" s="18">
        <f ca="1">ภ.8!$C$19</f>
        <v>0</v>
      </c>
      <c r="V17" s="19">
        <f ca="1">ภ.9!$B$19</f>
        <v>0</v>
      </c>
      <c r="W17" s="20">
        <f ca="1">ภ.9!$C$19</f>
        <v>0</v>
      </c>
      <c r="X17" s="17">
        <f ca="1">บช.ก.!$C$19</f>
        <v>0</v>
      </c>
      <c r="Y17" s="18">
        <f ca="1">บช.ก.!$D$19</f>
        <v>0</v>
      </c>
      <c r="Z17" s="19">
        <f ca="1">บช.สอท.!$B$19</f>
        <v>0</v>
      </c>
      <c r="AA17" s="20">
        <f ca="1">บช.สอท.!$C$19</f>
        <v>0</v>
      </c>
      <c r="AB17" s="17">
        <f ca="1">บช.ปส.!$B$19</f>
        <v>1</v>
      </c>
      <c r="AC17" s="18">
        <f ca="1">บช.ปส.!$C$19</f>
        <v>0</v>
      </c>
      <c r="AD17" s="19">
        <f ca="1">สตม.!$B$19</f>
        <v>0</v>
      </c>
      <c r="AE17" s="20">
        <f ca="1">สตม.!$C$19</f>
        <v>0</v>
      </c>
      <c r="AF17" s="17">
        <f ca="1">บช.ทท.!$B$19</f>
        <v>0</v>
      </c>
      <c r="AG17" s="18">
        <f ca="1">บช.ทท.!$C$19</f>
        <v>0</v>
      </c>
      <c r="AH17" s="19">
        <f ca="1">บช.ตชด.!$B$19</f>
        <v>0</v>
      </c>
      <c r="AI17" s="20">
        <f ca="1">บช.ตชด.!$C$19</f>
        <v>0</v>
      </c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</row>
    <row r="18" spans="1:65" ht="12.75">
      <c r="A18" s="22" t="s">
        <v>37</v>
      </c>
      <c r="B18" s="19">
        <f t="shared" ref="B18:C18" ca="1" si="10">D18+F18+H18+J18+L18+N18+P18+R18+T18+V18+X18+Z18+AB18+AD18+AF18+AH18</f>
        <v>175</v>
      </c>
      <c r="C18" s="20">
        <f t="shared" ca="1" si="10"/>
        <v>196</v>
      </c>
      <c r="D18" s="17">
        <f ca="1">บช.น.!$B$20</f>
        <v>3</v>
      </c>
      <c r="E18" s="18">
        <f ca="1">บช.น.!$C$20</f>
        <v>3</v>
      </c>
      <c r="F18" s="19">
        <f ca="1">ภ.1!$B$20</f>
        <v>26</v>
      </c>
      <c r="G18" s="20">
        <f ca="1">ภ.1!$C$20</f>
        <v>31</v>
      </c>
      <c r="H18" s="17">
        <f ca="1">ภ.2!$B$20</f>
        <v>24</v>
      </c>
      <c r="I18" s="18">
        <f ca="1">ภ.2!$C$20</f>
        <v>27</v>
      </c>
      <c r="J18" s="19">
        <f ca="1">ภ.3!$B$20</f>
        <v>31</v>
      </c>
      <c r="K18" s="20">
        <f ca="1">ภ.3!$C$20</f>
        <v>33</v>
      </c>
      <c r="L18" s="17">
        <f ca="1">ภ.4!$B$20</f>
        <v>15</v>
      </c>
      <c r="M18" s="18">
        <f ca="1">ภ.4!$C$20</f>
        <v>18</v>
      </c>
      <c r="N18" s="19">
        <f ca="1">ภ.5!$B$20</f>
        <v>20</v>
      </c>
      <c r="O18" s="20">
        <f ca="1">ภ.5!$C$20</f>
        <v>21</v>
      </c>
      <c r="P18" s="17">
        <f ca="1">ภ.6!$B$20</f>
        <v>21</v>
      </c>
      <c r="Q18" s="18">
        <f ca="1">ภ.6!$C$20</f>
        <v>24</v>
      </c>
      <c r="R18" s="19">
        <f ca="1">ภ.7!$B$20</f>
        <v>15</v>
      </c>
      <c r="S18" s="20">
        <f ca="1">ภ.7!$C$20</f>
        <v>18</v>
      </c>
      <c r="T18" s="17">
        <f ca="1">ภ.8!$B$20</f>
        <v>8</v>
      </c>
      <c r="U18" s="18">
        <f ca="1">ภ.8!$C$20</f>
        <v>9</v>
      </c>
      <c r="V18" s="19">
        <f ca="1">ภ.9!$B$20</f>
        <v>3</v>
      </c>
      <c r="W18" s="20">
        <f ca="1">ภ.9!$C$20</f>
        <v>3</v>
      </c>
      <c r="X18" s="17">
        <f ca="1">บช.ก.!$C$20</f>
        <v>2</v>
      </c>
      <c r="Y18" s="18">
        <f ca="1">บช.ก.!$D$20</f>
        <v>2</v>
      </c>
      <c r="Z18" s="19">
        <f ca="1">บช.สอท.!$B$20</f>
        <v>0</v>
      </c>
      <c r="AA18" s="20">
        <f ca="1">บช.สอท.!$C$20</f>
        <v>0</v>
      </c>
      <c r="AB18" s="17">
        <f ca="1">บช.ปส.!$B$20</f>
        <v>2</v>
      </c>
      <c r="AC18" s="18">
        <f ca="1">บช.ปส.!$C$20</f>
        <v>2</v>
      </c>
      <c r="AD18" s="19">
        <f ca="1">สตม.!$B$20</f>
        <v>3</v>
      </c>
      <c r="AE18" s="20">
        <f ca="1">สตม.!$C$20</f>
        <v>3</v>
      </c>
      <c r="AF18" s="17">
        <f ca="1">บช.ทท.!$B$20</f>
        <v>2</v>
      </c>
      <c r="AG18" s="18">
        <f ca="1">บช.ทท.!$C$20</f>
        <v>2</v>
      </c>
      <c r="AH18" s="19">
        <f ca="1">บช.ตชด.!$B$20</f>
        <v>0</v>
      </c>
      <c r="AI18" s="20">
        <f ca="1">บช.ตชด.!$C$20</f>
        <v>0</v>
      </c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</row>
    <row r="19" spans="1:65" ht="12.75">
      <c r="A19" s="22" t="s">
        <v>38</v>
      </c>
      <c r="B19" s="19">
        <f t="shared" ref="B19:C19" ca="1" si="11">D19+F19+H19+J19+L19+N19+P19+R19+T19+V19+X19+Z19+AB19+AD19+AF19+AH19</f>
        <v>1751</v>
      </c>
      <c r="C19" s="20">
        <f t="shared" ca="1" si="11"/>
        <v>1951</v>
      </c>
      <c r="D19" s="17">
        <f ca="1">บช.น.!$B$21</f>
        <v>47</v>
      </c>
      <c r="E19" s="18">
        <f ca="1">บช.น.!$C$21</f>
        <v>101</v>
      </c>
      <c r="F19" s="19">
        <f ca="1">ภ.1!$B$21</f>
        <v>190</v>
      </c>
      <c r="G19" s="20">
        <f ca="1">ภ.1!$C$21</f>
        <v>198</v>
      </c>
      <c r="H19" s="17">
        <f ca="1">ภ.2!$B$21</f>
        <v>133</v>
      </c>
      <c r="I19" s="18">
        <f ca="1">ภ.2!$C$21</f>
        <v>141</v>
      </c>
      <c r="J19" s="19">
        <f ca="1">ภ.3!$B$21</f>
        <v>132</v>
      </c>
      <c r="K19" s="20">
        <f ca="1">ภ.3!$C$21</f>
        <v>141</v>
      </c>
      <c r="L19" s="17">
        <f ca="1">ภ.4!$B$21</f>
        <v>508</v>
      </c>
      <c r="M19" s="18">
        <f ca="1">ภ.4!$C$21</f>
        <v>530</v>
      </c>
      <c r="N19" s="19">
        <f ca="1">ภ.5!$B$21</f>
        <v>78</v>
      </c>
      <c r="O19" s="20">
        <f ca="1">ภ.5!$C$21</f>
        <v>54</v>
      </c>
      <c r="P19" s="17">
        <f ca="1">ภ.6!$B$21</f>
        <v>92</v>
      </c>
      <c r="Q19" s="18">
        <f ca="1">ภ.6!$C$21</f>
        <v>101</v>
      </c>
      <c r="R19" s="19">
        <f ca="1">ภ.7!$B$21</f>
        <v>159</v>
      </c>
      <c r="S19" s="20">
        <f ca="1">ภ.7!$C$21</f>
        <v>163</v>
      </c>
      <c r="T19" s="17">
        <f ca="1">ภ.8!$B$21</f>
        <v>109</v>
      </c>
      <c r="U19" s="18">
        <f ca="1">ภ.8!$C$21</f>
        <v>117</v>
      </c>
      <c r="V19" s="19">
        <f ca="1">ภ.9!$B$21</f>
        <v>101</v>
      </c>
      <c r="W19" s="20">
        <f ca="1">ภ.9!$C$21</f>
        <v>112</v>
      </c>
      <c r="X19" s="17">
        <f ca="1">บช.ก.!$C$21</f>
        <v>81</v>
      </c>
      <c r="Y19" s="18">
        <f ca="1">บช.ก.!$D$21</f>
        <v>155</v>
      </c>
      <c r="Z19" s="19">
        <f ca="1">บช.สอท.!$B$21</f>
        <v>10</v>
      </c>
      <c r="AA19" s="20">
        <f ca="1">บช.สอท.!$C$21</f>
        <v>11</v>
      </c>
      <c r="AB19" s="17">
        <f ca="1">บช.ปส.!$B$21</f>
        <v>17</v>
      </c>
      <c r="AC19" s="18">
        <f ca="1">บช.ปส.!$C$21</f>
        <v>25</v>
      </c>
      <c r="AD19" s="19">
        <f ca="1">สตม.!$B$21</f>
        <v>58</v>
      </c>
      <c r="AE19" s="20">
        <f ca="1">สตม.!$C$21</f>
        <v>59</v>
      </c>
      <c r="AF19" s="17">
        <f ca="1">บช.ทท.!$B$21</f>
        <v>25</v>
      </c>
      <c r="AG19" s="18">
        <f ca="1">บช.ทท.!$C$21</f>
        <v>26</v>
      </c>
      <c r="AH19" s="19">
        <f ca="1">บช.ตชด.!$B$21</f>
        <v>11</v>
      </c>
      <c r="AI19" s="20">
        <f ca="1">บช.ตชด.!$C$21</f>
        <v>17</v>
      </c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</row>
    <row r="20" spans="1:65" ht="12.75">
      <c r="A20" s="22" t="s">
        <v>39</v>
      </c>
      <c r="B20" s="19">
        <f t="shared" ref="B20:C20" ca="1" si="12">D20+F20+H20+J20+L20+N20+P20+R20+T20+V20+X20+Z20+AB20+AD20+AF20+AH20</f>
        <v>2179</v>
      </c>
      <c r="C20" s="20">
        <f t="shared" ca="1" si="12"/>
        <v>2190</v>
      </c>
      <c r="D20" s="17">
        <f ca="1">บช.น.!$B$22</f>
        <v>32</v>
      </c>
      <c r="E20" s="18">
        <f ca="1">บช.น.!$C$22</f>
        <v>32</v>
      </c>
      <c r="F20" s="19">
        <f ca="1">ภ.1!$B$22</f>
        <v>174</v>
      </c>
      <c r="G20" s="20">
        <f ca="1">ภ.1!$C$22</f>
        <v>174</v>
      </c>
      <c r="H20" s="17">
        <f ca="1">ภ.2!$B$22</f>
        <v>144</v>
      </c>
      <c r="I20" s="18">
        <f ca="1">ภ.2!$C$22</f>
        <v>147</v>
      </c>
      <c r="J20" s="19">
        <f ca="1">ภ.3!$B$22</f>
        <v>121</v>
      </c>
      <c r="K20" s="20">
        <f ca="1">ภ.3!$C$22</f>
        <v>122</v>
      </c>
      <c r="L20" s="17">
        <f ca="1">ภ.4!$B$22</f>
        <v>870</v>
      </c>
      <c r="M20" s="18">
        <f ca="1">ภ.4!$C$22</f>
        <v>866</v>
      </c>
      <c r="N20" s="19">
        <f ca="1">ภ.5!$B$22</f>
        <v>59</v>
      </c>
      <c r="O20" s="20">
        <f ca="1">ภ.5!$C$22</f>
        <v>42</v>
      </c>
      <c r="P20" s="17">
        <f ca="1">ภ.6!$B$22</f>
        <v>87</v>
      </c>
      <c r="Q20" s="18">
        <f ca="1">ภ.6!$C$22</f>
        <v>89</v>
      </c>
      <c r="R20" s="19">
        <f ca="1">ภ.7!$B$22</f>
        <v>188</v>
      </c>
      <c r="S20" s="20">
        <f ca="1">ภ.7!$C$22</f>
        <v>190</v>
      </c>
      <c r="T20" s="17">
        <f ca="1">ภ.8!$B$22</f>
        <v>196</v>
      </c>
      <c r="U20" s="18">
        <f ca="1">ภ.8!$C$22</f>
        <v>199</v>
      </c>
      <c r="V20" s="19">
        <f ca="1">ภ.9!$B$22</f>
        <v>203</v>
      </c>
      <c r="W20" s="20">
        <f ca="1">ภ.9!$C$22</f>
        <v>211</v>
      </c>
      <c r="X20" s="17">
        <f ca="1">บช.ก.!$C$22</f>
        <v>48</v>
      </c>
      <c r="Y20" s="18">
        <f ca="1">บช.ก.!$D$22</f>
        <v>51</v>
      </c>
      <c r="Z20" s="19">
        <f ca="1">บช.สอท.!$B$22</f>
        <v>5</v>
      </c>
      <c r="AA20" s="20">
        <f ca="1">บช.สอท.!$C$22</f>
        <v>5</v>
      </c>
      <c r="AB20" s="17">
        <f ca="1">บช.ปส.!$B$22</f>
        <v>4</v>
      </c>
      <c r="AC20" s="18">
        <f ca="1">บช.ปส.!$C$22</f>
        <v>4</v>
      </c>
      <c r="AD20" s="19">
        <f ca="1">สตม.!$B$22</f>
        <v>36</v>
      </c>
      <c r="AE20" s="20">
        <f ca="1">สตม.!$C$22</f>
        <v>45</v>
      </c>
      <c r="AF20" s="17">
        <f ca="1">บช.ทท.!$B$22</f>
        <v>10</v>
      </c>
      <c r="AG20" s="18">
        <f ca="1">บช.ทท.!$C$22</f>
        <v>10</v>
      </c>
      <c r="AH20" s="19">
        <f ca="1">บช.ตชด.!$B$22</f>
        <v>2</v>
      </c>
      <c r="AI20" s="20">
        <f ca="1">บช.ตชด.!$C$22</f>
        <v>3</v>
      </c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</row>
    <row r="21" spans="1:65" ht="12.75">
      <c r="A21" s="22" t="s">
        <v>40</v>
      </c>
      <c r="B21" s="19">
        <f t="shared" ref="B21:C21" ca="1" si="13">D21+F21+H21+J21+L21+N21+P21+R21+T21+V21+X21+Z21+AB21+AD21+AF21+AH21</f>
        <v>5107</v>
      </c>
      <c r="C21" s="20">
        <f t="shared" ca="1" si="13"/>
        <v>5102</v>
      </c>
      <c r="D21" s="17">
        <f ca="1">บช.น.!$B$23</f>
        <v>50</v>
      </c>
      <c r="E21" s="18">
        <f ca="1">บช.น.!$C$23</f>
        <v>50</v>
      </c>
      <c r="F21" s="19">
        <f ca="1">ภ.1!$B$23</f>
        <v>215</v>
      </c>
      <c r="G21" s="20">
        <f ca="1">ภ.1!$C$23</f>
        <v>215</v>
      </c>
      <c r="H21" s="17">
        <f ca="1">ภ.2!$B$23</f>
        <v>457</v>
      </c>
      <c r="I21" s="18">
        <f ca="1">ภ.2!$C$23</f>
        <v>456</v>
      </c>
      <c r="J21" s="19">
        <f ca="1">ภ.3!$B$23</f>
        <v>560</v>
      </c>
      <c r="K21" s="20">
        <f ca="1">ภ.3!$C$23</f>
        <v>560</v>
      </c>
      <c r="L21" s="17">
        <f ca="1">ภ.4!$B$23</f>
        <v>2364</v>
      </c>
      <c r="M21" s="18">
        <f ca="1">ภ.4!$C$23</f>
        <v>2349</v>
      </c>
      <c r="N21" s="19">
        <f ca="1">ภ.5!$B$23</f>
        <v>227</v>
      </c>
      <c r="O21" s="20">
        <f ca="1">ภ.5!$C$23</f>
        <v>227</v>
      </c>
      <c r="P21" s="17">
        <f ca="1">ภ.6!$B$23</f>
        <v>396</v>
      </c>
      <c r="Q21" s="18">
        <f ca="1">ภ.6!$C$23</f>
        <v>396</v>
      </c>
      <c r="R21" s="19">
        <f ca="1">ภ.7!$B$23</f>
        <v>278</v>
      </c>
      <c r="S21" s="20">
        <f ca="1">ภ.7!$C$23</f>
        <v>278</v>
      </c>
      <c r="T21" s="17">
        <f ca="1">ภ.8!$B$23</f>
        <v>218</v>
      </c>
      <c r="U21" s="18">
        <f ca="1">ภ.8!$C$23</f>
        <v>218</v>
      </c>
      <c r="V21" s="19">
        <f ca="1">ภ.9!$B$23</f>
        <v>173</v>
      </c>
      <c r="W21" s="20">
        <f ca="1">ภ.9!$C$23</f>
        <v>173</v>
      </c>
      <c r="X21" s="17">
        <f ca="1">บช.ก.!$C$23</f>
        <v>34</v>
      </c>
      <c r="Y21" s="18">
        <f ca="1">บช.ก.!$D$23</f>
        <v>42</v>
      </c>
      <c r="Z21" s="19">
        <f ca="1">บช.สอท.!$B$23</f>
        <v>9</v>
      </c>
      <c r="AA21" s="20">
        <f ca="1">บช.สอท.!$C$23</f>
        <v>10</v>
      </c>
      <c r="AB21" s="17">
        <f ca="1">บช.ปส.!$B$23</f>
        <v>2</v>
      </c>
      <c r="AC21" s="18">
        <f ca="1">บช.ปส.!$C$23</f>
        <v>2</v>
      </c>
      <c r="AD21" s="19">
        <f ca="1">สตม.!$B$23</f>
        <v>87</v>
      </c>
      <c r="AE21" s="20">
        <f ca="1">สตม.!$C$23</f>
        <v>89</v>
      </c>
      <c r="AF21" s="17">
        <f ca="1">บช.ทท.!$B$23</f>
        <v>31</v>
      </c>
      <c r="AG21" s="18">
        <f ca="1">บช.ทท.!$C$23</f>
        <v>31</v>
      </c>
      <c r="AH21" s="19">
        <f ca="1">บช.ตชด.!$B$23</f>
        <v>6</v>
      </c>
      <c r="AI21" s="20">
        <f ca="1">บช.ตชด.!$C$23</f>
        <v>6</v>
      </c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</row>
    <row r="22" spans="1:65" ht="12.75">
      <c r="A22" s="24" t="s">
        <v>32</v>
      </c>
      <c r="B22" s="25">
        <f t="shared" ref="B22:C22" ca="1" si="14">D22+F22+H22+J22+L22+N22+P22+R22+T22+V22+X22+Z22+AB22+AD22+AF22+AH22</f>
        <v>9549</v>
      </c>
      <c r="C22" s="26">
        <f t="shared" ca="1" si="14"/>
        <v>9714</v>
      </c>
      <c r="D22" s="25">
        <f ca="1">บช.น.!$B$24</f>
        <v>133</v>
      </c>
      <c r="E22" s="26">
        <f ca="1">บช.น.!$C$24</f>
        <v>187</v>
      </c>
      <c r="F22" s="25">
        <f ca="1">ภ.1!$B$24</f>
        <v>635</v>
      </c>
      <c r="G22" s="26">
        <f ca="1">ภ.1!$C$24</f>
        <v>648</v>
      </c>
      <c r="H22" s="25">
        <f ca="1">ภ.2!$B$24</f>
        <v>786</v>
      </c>
      <c r="I22" s="26">
        <f ca="1">ภ.2!$C$24</f>
        <v>799</v>
      </c>
      <c r="J22" s="25">
        <f ca="1">ภ.3!$B$24</f>
        <v>869</v>
      </c>
      <c r="K22" s="26">
        <f ca="1">ภ.3!$C$24</f>
        <v>881</v>
      </c>
      <c r="L22" s="25">
        <f ca="1">ภ.4!$B$24</f>
        <v>3854</v>
      </c>
      <c r="M22" s="26">
        <f ca="1">ภ.4!$C$24</f>
        <v>3859</v>
      </c>
      <c r="N22" s="25">
        <f ca="1">ภ.5!$B$24</f>
        <v>461</v>
      </c>
      <c r="O22" s="26">
        <f ca="1">ภ.5!$C$24</f>
        <v>358</v>
      </c>
      <c r="P22" s="25">
        <f ca="1">ภ.6!$B$24</f>
        <v>599</v>
      </c>
      <c r="Q22" s="26">
        <f ca="1">ภ.6!$C$24</f>
        <v>613</v>
      </c>
      <c r="R22" s="25">
        <f ca="1">ภ.7!$B$24</f>
        <v>652</v>
      </c>
      <c r="S22" s="26">
        <f ca="1">ภ.7!$C$24</f>
        <v>661</v>
      </c>
      <c r="T22" s="25">
        <f ca="1">ภ.8!$B$24</f>
        <v>568</v>
      </c>
      <c r="U22" s="26">
        <f ca="1">ภ.8!$C$24</f>
        <v>581</v>
      </c>
      <c r="V22" s="25">
        <f ca="1">ภ.9!$B$24</f>
        <v>487</v>
      </c>
      <c r="W22" s="26">
        <f ca="1">ภ.9!$C$24</f>
        <v>506</v>
      </c>
      <c r="X22" s="25">
        <f ca="1">บช.ก.!$C$24</f>
        <v>169</v>
      </c>
      <c r="Y22" s="26">
        <f ca="1">บช.ก.!$D$24</f>
        <v>255</v>
      </c>
      <c r="Z22" s="25">
        <f ca="1">บช.สอท.!$B$24</f>
        <v>26</v>
      </c>
      <c r="AA22" s="26">
        <f ca="1">บช.สอท.!$C$24</f>
        <v>28</v>
      </c>
      <c r="AB22" s="25">
        <f ca="1">บช.ปส.!$B$24</f>
        <v>26</v>
      </c>
      <c r="AC22" s="26">
        <f ca="1">บช.ปส.!$C$24</f>
        <v>33</v>
      </c>
      <c r="AD22" s="25">
        <f ca="1">สตม.!$B$24</f>
        <v>191</v>
      </c>
      <c r="AE22" s="26">
        <f ca="1">สตม.!$C$24</f>
        <v>204</v>
      </c>
      <c r="AF22" s="25">
        <f ca="1">บช.ทท.!$B$24</f>
        <v>74</v>
      </c>
      <c r="AG22" s="26">
        <f ca="1">บช.ทท.!$C$24</f>
        <v>75</v>
      </c>
      <c r="AH22" s="25">
        <f ca="1">บช.ตชด.!$B$24</f>
        <v>19</v>
      </c>
      <c r="AI22" s="26">
        <f ca="1">บช.ตชด.!$C$24</f>
        <v>26</v>
      </c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</row>
    <row r="23" spans="1:65" ht="12.75">
      <c r="A23" s="14" t="s">
        <v>41</v>
      </c>
      <c r="B23" s="27"/>
      <c r="C23" s="28"/>
      <c r="D23" s="29">
        <f>บช.น.!$B$25</f>
        <v>0</v>
      </c>
      <c r="E23" s="30">
        <f>บช.น.!$C$25</f>
        <v>0</v>
      </c>
      <c r="F23" s="27">
        <f>ภ.1!$B$25</f>
        <v>0</v>
      </c>
      <c r="G23" s="28">
        <f>ภ.1!$C$25</f>
        <v>0</v>
      </c>
      <c r="H23" s="29">
        <f>ภ.2!$B$25</f>
        <v>0</v>
      </c>
      <c r="I23" s="30">
        <f>ภ.2!$C$25</f>
        <v>0</v>
      </c>
      <c r="J23" s="27">
        <f>ภ.3!$B$25</f>
        <v>0</v>
      </c>
      <c r="K23" s="28">
        <f>ภ.3!$C$25</f>
        <v>0</v>
      </c>
      <c r="L23" s="29">
        <f>ภ.4!$B$25</f>
        <v>0</v>
      </c>
      <c r="M23" s="30">
        <f>ภ.4!$C$25</f>
        <v>0</v>
      </c>
      <c r="N23" s="27">
        <f>ภ.5!$B$25</f>
        <v>0</v>
      </c>
      <c r="O23" s="28">
        <f>ภ.5!$C$25</f>
        <v>0</v>
      </c>
      <c r="P23" s="29">
        <f>ภ.6!$B$25</f>
        <v>0</v>
      </c>
      <c r="Q23" s="30">
        <f>ภ.6!$C$25</f>
        <v>0</v>
      </c>
      <c r="R23" s="27">
        <f>ภ.7!$B$25</f>
        <v>0</v>
      </c>
      <c r="S23" s="28">
        <f>ภ.7!$C$25</f>
        <v>0</v>
      </c>
      <c r="T23" s="29">
        <f>ภ.8!$B$25</f>
        <v>0</v>
      </c>
      <c r="U23" s="30">
        <f>ภ.8!$C$25</f>
        <v>0</v>
      </c>
      <c r="V23" s="27">
        <f>ภ.9!$B$25</f>
        <v>0</v>
      </c>
      <c r="W23" s="28">
        <f>ภ.9!$C$25</f>
        <v>0</v>
      </c>
      <c r="X23" s="29">
        <f>บช.ก.!$C$25</f>
        <v>0</v>
      </c>
      <c r="Y23" s="30">
        <f>บช.ก.!$D$25</f>
        <v>0</v>
      </c>
      <c r="Z23" s="27">
        <f>บช.สอท.!$B$25</f>
        <v>0</v>
      </c>
      <c r="AA23" s="28">
        <f>บช.สอท.!$C$25</f>
        <v>0</v>
      </c>
      <c r="AB23" s="29">
        <f>บช.ปส.!$B$25</f>
        <v>0</v>
      </c>
      <c r="AC23" s="30">
        <f>บช.ปส.!$C$25</f>
        <v>0</v>
      </c>
      <c r="AD23" s="27">
        <f>สตม.!$B$25</f>
        <v>0</v>
      </c>
      <c r="AE23" s="28">
        <f>สตม.!$C$25</f>
        <v>0</v>
      </c>
      <c r="AF23" s="29">
        <f>บช.ทท.!$B$25</f>
        <v>0</v>
      </c>
      <c r="AG23" s="30">
        <f>บช.ทท.!$C$25</f>
        <v>0</v>
      </c>
      <c r="AH23" s="27">
        <f>บช.ตชด.!$B$25</f>
        <v>0</v>
      </c>
      <c r="AI23" s="28">
        <f>บช.ตชด.!$C$25</f>
        <v>0</v>
      </c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</row>
    <row r="24" spans="1:65" ht="12.75">
      <c r="A24" s="22" t="s">
        <v>42</v>
      </c>
      <c r="B24" s="19">
        <f t="shared" ref="B24:C24" ca="1" si="15">D24+F24+H24+J24+L24+N24+P24+R24+T24+V24+X24+Z24+AB24+AD24+AF24+AH24</f>
        <v>14</v>
      </c>
      <c r="C24" s="20">
        <f t="shared" ca="1" si="15"/>
        <v>16</v>
      </c>
      <c r="D24" s="17">
        <f ca="1">บช.น.!$B$26</f>
        <v>0</v>
      </c>
      <c r="E24" s="18">
        <f ca="1">บช.น.!$C$26</f>
        <v>0</v>
      </c>
      <c r="F24" s="19">
        <f ca="1">ภ.1!$B$26</f>
        <v>0</v>
      </c>
      <c r="G24" s="20">
        <f ca="1">ภ.1!$C$26</f>
        <v>0</v>
      </c>
      <c r="H24" s="17">
        <f ca="1">ภ.2!$B$26</f>
        <v>5</v>
      </c>
      <c r="I24" s="18">
        <f ca="1">ภ.2!$C$26</f>
        <v>5</v>
      </c>
      <c r="J24" s="19">
        <f ca="1">ภ.3!$B$26</f>
        <v>0</v>
      </c>
      <c r="K24" s="20">
        <f ca="1">ภ.3!$C$26</f>
        <v>0</v>
      </c>
      <c r="L24" s="17">
        <f ca="1">ภ.4!$B$26</f>
        <v>1</v>
      </c>
      <c r="M24" s="18">
        <f ca="1">ภ.4!$C$26</f>
        <v>1</v>
      </c>
      <c r="N24" s="19">
        <f ca="1">ภ.5!$B$26</f>
        <v>1</v>
      </c>
      <c r="O24" s="20">
        <f ca="1">ภ.5!$C$26</f>
        <v>2</v>
      </c>
      <c r="P24" s="17">
        <f ca="1">ภ.6!$B$26</f>
        <v>0</v>
      </c>
      <c r="Q24" s="18">
        <f ca="1">ภ.6!$C$26</f>
        <v>0</v>
      </c>
      <c r="R24" s="19">
        <f ca="1">ภ.7!$B$26</f>
        <v>0</v>
      </c>
      <c r="S24" s="20">
        <f ca="1">ภ.7!$C$26</f>
        <v>0</v>
      </c>
      <c r="T24" s="17">
        <f ca="1">ภ.8!$B$26</f>
        <v>0</v>
      </c>
      <c r="U24" s="18">
        <f ca="1">ภ.8!$C$26</f>
        <v>0</v>
      </c>
      <c r="V24" s="19">
        <f ca="1">ภ.9!$B$26</f>
        <v>3</v>
      </c>
      <c r="W24" s="20">
        <f ca="1">ภ.9!$C$26</f>
        <v>3</v>
      </c>
      <c r="X24" s="17">
        <f ca="1">บช.ก.!$C$26</f>
        <v>2</v>
      </c>
      <c r="Y24" s="18">
        <f ca="1">บช.ก.!$D$26</f>
        <v>3</v>
      </c>
      <c r="Z24" s="19">
        <f ca="1">บช.สอท.!$B$26</f>
        <v>1</v>
      </c>
      <c r="AA24" s="20">
        <f ca="1">บช.สอท.!$C$26</f>
        <v>1</v>
      </c>
      <c r="AB24" s="17">
        <f ca="1">บช.ปส.!$B$26</f>
        <v>0</v>
      </c>
      <c r="AC24" s="18">
        <f ca="1">บช.ปส.!$C$26</f>
        <v>0</v>
      </c>
      <c r="AD24" s="19">
        <f ca="1">สตม.!$B$26</f>
        <v>0</v>
      </c>
      <c r="AE24" s="20">
        <f ca="1">สตม.!$C$26</f>
        <v>0</v>
      </c>
      <c r="AF24" s="17">
        <f ca="1">บช.ทท.!$B$26</f>
        <v>1</v>
      </c>
      <c r="AG24" s="18">
        <f ca="1">บช.ทท.!$C$26</f>
        <v>1</v>
      </c>
      <c r="AH24" s="19">
        <f ca="1">บช.ตชด.!$B$26</f>
        <v>0</v>
      </c>
      <c r="AI24" s="20">
        <f ca="1">บช.ตชด.!$C$26</f>
        <v>0</v>
      </c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</row>
    <row r="25" spans="1:65" ht="12.75">
      <c r="A25" s="22" t="s">
        <v>43</v>
      </c>
      <c r="B25" s="19">
        <f t="shared" ref="B25:C25" ca="1" si="16">D25+F25+H25+J25+L25+N25+P25+R25+T25+V25+X25+Z25+AB25+AD25+AF25+AH25</f>
        <v>56</v>
      </c>
      <c r="C25" s="20">
        <f t="shared" ca="1" si="16"/>
        <v>64</v>
      </c>
      <c r="D25" s="17">
        <f ca="1">บช.น.!$B$27</f>
        <v>0</v>
      </c>
      <c r="E25" s="18">
        <f ca="1">บช.น.!$C$27</f>
        <v>0</v>
      </c>
      <c r="F25" s="19">
        <f ca="1">ภ.1!$B$27</f>
        <v>0</v>
      </c>
      <c r="G25" s="20">
        <f ca="1">ภ.1!$C$27</f>
        <v>0</v>
      </c>
      <c r="H25" s="17">
        <f ca="1">ภ.2!$B$27</f>
        <v>0</v>
      </c>
      <c r="I25" s="18">
        <f ca="1">ภ.2!$C$27</f>
        <v>0</v>
      </c>
      <c r="J25" s="19">
        <f ca="1">ภ.3!$B$27</f>
        <v>0</v>
      </c>
      <c r="K25" s="20">
        <f ca="1">ภ.3!$C$27</f>
        <v>0</v>
      </c>
      <c r="L25" s="17">
        <f ca="1">ภ.4!$B$27</f>
        <v>5</v>
      </c>
      <c r="M25" s="18">
        <f ca="1">ภ.4!$C$27</f>
        <v>5</v>
      </c>
      <c r="N25" s="19">
        <f ca="1">ภ.5!$B$27</f>
        <v>1</v>
      </c>
      <c r="O25" s="20">
        <f ca="1">ภ.5!$C$27</f>
        <v>1</v>
      </c>
      <c r="P25" s="17">
        <f ca="1">ภ.6!$B$27</f>
        <v>6</v>
      </c>
      <c r="Q25" s="18">
        <f ca="1">ภ.6!$C$27</f>
        <v>7</v>
      </c>
      <c r="R25" s="19">
        <f ca="1">ภ.7!$B$27</f>
        <v>3</v>
      </c>
      <c r="S25" s="20">
        <f ca="1">ภ.7!$C$27</f>
        <v>3</v>
      </c>
      <c r="T25" s="17">
        <f ca="1">ภ.8!$B$27</f>
        <v>0</v>
      </c>
      <c r="U25" s="18">
        <f ca="1">ภ.8!$C$27</f>
        <v>0</v>
      </c>
      <c r="V25" s="19">
        <f ca="1">ภ.9!$B$27</f>
        <v>3</v>
      </c>
      <c r="W25" s="20">
        <f ca="1">ภ.9!$C$27</f>
        <v>4</v>
      </c>
      <c r="X25" s="17">
        <f ca="1">บช.ก.!$C$27</f>
        <v>7</v>
      </c>
      <c r="Y25" s="18">
        <f ca="1">บช.ก.!$D$27</f>
        <v>9</v>
      </c>
      <c r="Z25" s="19">
        <f ca="1">บช.สอท.!$B$27</f>
        <v>0</v>
      </c>
      <c r="AA25" s="20">
        <f ca="1">บช.สอท.!$C$27</f>
        <v>0</v>
      </c>
      <c r="AB25" s="17">
        <f ca="1">บช.ปส.!$B$27</f>
        <v>0</v>
      </c>
      <c r="AC25" s="18">
        <f ca="1">บช.ปส.!$C$27</f>
        <v>0</v>
      </c>
      <c r="AD25" s="19">
        <f ca="1">สตม.!$B$27</f>
        <v>25</v>
      </c>
      <c r="AE25" s="20">
        <f ca="1">สตม.!$C$27</f>
        <v>28</v>
      </c>
      <c r="AF25" s="17">
        <f ca="1">บช.ทท.!$B$27</f>
        <v>6</v>
      </c>
      <c r="AG25" s="18">
        <f ca="1">บช.ทท.!$C$27</f>
        <v>7</v>
      </c>
      <c r="AH25" s="19">
        <f ca="1">บช.ตชด.!$B$27</f>
        <v>0</v>
      </c>
      <c r="AI25" s="20">
        <f ca="1">บช.ตชด.!$C$27</f>
        <v>0</v>
      </c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</row>
    <row r="26" spans="1:65" ht="12.75">
      <c r="A26" s="22" t="s">
        <v>44</v>
      </c>
      <c r="B26" s="19">
        <f t="shared" ref="B26:C26" ca="1" si="17">D26+F26+H26+J26+L26+N26+P26+R26+T26+V26+X26+Z26+AB26+AD26+AF26+AH26</f>
        <v>1568</v>
      </c>
      <c r="C26" s="20">
        <f t="shared" ca="1" si="17"/>
        <v>2108</v>
      </c>
      <c r="D26" s="17">
        <f ca="1">บช.น.!$B$28</f>
        <v>301</v>
      </c>
      <c r="E26" s="18">
        <f ca="1">บช.น.!$C$28</f>
        <v>306</v>
      </c>
      <c r="F26" s="19">
        <f ca="1">ภ.1!$B$28</f>
        <v>90</v>
      </c>
      <c r="G26" s="20">
        <f ca="1">ภ.1!$C$28</f>
        <v>91</v>
      </c>
      <c r="H26" s="17">
        <f ca="1">ภ.2!$B$28</f>
        <v>102</v>
      </c>
      <c r="I26" s="18">
        <f ca="1">ภ.2!$C$28</f>
        <v>102</v>
      </c>
      <c r="J26" s="19">
        <f ca="1">ภ.3!$B$28</f>
        <v>8</v>
      </c>
      <c r="K26" s="20">
        <f ca="1">ภ.3!$C$28</f>
        <v>8</v>
      </c>
      <c r="L26" s="17">
        <f ca="1">ภ.4!$B$28</f>
        <v>87</v>
      </c>
      <c r="M26" s="18">
        <f ca="1">ภ.4!$C$28</f>
        <v>87</v>
      </c>
      <c r="N26" s="19">
        <f ca="1">ภ.5!$B$28</f>
        <v>51</v>
      </c>
      <c r="O26" s="20">
        <f ca="1">ภ.5!$C$28</f>
        <v>51</v>
      </c>
      <c r="P26" s="17">
        <f ca="1">ภ.6!$B$28</f>
        <v>84</v>
      </c>
      <c r="Q26" s="18">
        <f ca="1">ภ.6!$C$28</f>
        <v>84</v>
      </c>
      <c r="R26" s="19">
        <f ca="1">ภ.7!$B$28</f>
        <v>87</v>
      </c>
      <c r="S26" s="20">
        <f ca="1">ภ.7!$C$28</f>
        <v>146</v>
      </c>
      <c r="T26" s="17">
        <f ca="1">ภ.8!$B$28</f>
        <v>9</v>
      </c>
      <c r="U26" s="18">
        <f ca="1">ภ.8!$C$28</f>
        <v>9</v>
      </c>
      <c r="V26" s="19">
        <f ca="1">ภ.9!$B$28</f>
        <v>11</v>
      </c>
      <c r="W26" s="20">
        <f ca="1">ภ.9!$C$28</f>
        <v>51</v>
      </c>
      <c r="X26" s="17">
        <f ca="1">บช.ก.!$C$28</f>
        <v>35</v>
      </c>
      <c r="Y26" s="18">
        <f ca="1">บช.ก.!$D$28</f>
        <v>105</v>
      </c>
      <c r="Z26" s="19">
        <f ca="1">บช.สอท.!$B$28</f>
        <v>7</v>
      </c>
      <c r="AA26" s="20">
        <f ca="1">บช.สอท.!$C$28</f>
        <v>11</v>
      </c>
      <c r="AB26" s="17">
        <f ca="1">บช.ปส.!$B$28</f>
        <v>1</v>
      </c>
      <c r="AC26" s="18">
        <f ca="1">บช.ปส.!$C$28</f>
        <v>1</v>
      </c>
      <c r="AD26" s="19">
        <f ca="1">สตม.!$B$28</f>
        <v>648</v>
      </c>
      <c r="AE26" s="20">
        <f ca="1">สตม.!$C$28</f>
        <v>928</v>
      </c>
      <c r="AF26" s="17">
        <f ca="1">บช.ทท.!$B$28</f>
        <v>31</v>
      </c>
      <c r="AG26" s="18">
        <f ca="1">บช.ทท.!$C$28</f>
        <v>48</v>
      </c>
      <c r="AH26" s="19">
        <f ca="1">บช.ตชด.!$B$28</f>
        <v>16</v>
      </c>
      <c r="AI26" s="20">
        <f ca="1">บช.ตชด.!$C$28</f>
        <v>80</v>
      </c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</row>
    <row r="27" spans="1:65" ht="12.75">
      <c r="A27" s="24" t="s">
        <v>32</v>
      </c>
      <c r="B27" s="25">
        <f t="shared" ref="B27:C27" ca="1" si="18">D27+F27+H27+J27+L27+N27+P27+R27+T27+V27+X27+Z27+AB27+AD27+AF27+AH27</f>
        <v>1638</v>
      </c>
      <c r="C27" s="26">
        <f t="shared" ca="1" si="18"/>
        <v>2188</v>
      </c>
      <c r="D27" s="25">
        <f ca="1">บช.น.!$B$29</f>
        <v>301</v>
      </c>
      <c r="E27" s="26">
        <f ca="1">บช.น.!$C$29</f>
        <v>306</v>
      </c>
      <c r="F27" s="25">
        <f ca="1">ภ.1!$B$29</f>
        <v>90</v>
      </c>
      <c r="G27" s="26">
        <f ca="1">ภ.1!$C$29</f>
        <v>91</v>
      </c>
      <c r="H27" s="25">
        <f ca="1">ภ.2!$B$29</f>
        <v>107</v>
      </c>
      <c r="I27" s="26">
        <f ca="1">ภ.2!$C$29</f>
        <v>107</v>
      </c>
      <c r="J27" s="25">
        <f ca="1">ภ.3!$B$29</f>
        <v>8</v>
      </c>
      <c r="K27" s="26">
        <f ca="1">ภ.3!$C$29</f>
        <v>8</v>
      </c>
      <c r="L27" s="25">
        <f ca="1">ภ.4!$B$29</f>
        <v>93</v>
      </c>
      <c r="M27" s="26">
        <f ca="1">ภ.4!$C$29</f>
        <v>93</v>
      </c>
      <c r="N27" s="25">
        <f ca="1">ภ.5!$B$29</f>
        <v>53</v>
      </c>
      <c r="O27" s="26">
        <f ca="1">ภ.5!$C$29</f>
        <v>54</v>
      </c>
      <c r="P27" s="25">
        <f ca="1">ภ.6!$B$29</f>
        <v>90</v>
      </c>
      <c r="Q27" s="26">
        <f ca="1">ภ.6!$C$29</f>
        <v>91</v>
      </c>
      <c r="R27" s="25">
        <f ca="1">ภ.7!$B$29</f>
        <v>90</v>
      </c>
      <c r="S27" s="26">
        <f ca="1">ภ.7!$C$29</f>
        <v>149</v>
      </c>
      <c r="T27" s="25">
        <f ca="1">ภ.8!$B$29</f>
        <v>9</v>
      </c>
      <c r="U27" s="26">
        <f ca="1">ภ.8!$C$29</f>
        <v>9</v>
      </c>
      <c r="V27" s="25">
        <f ca="1">ภ.9!$B$29</f>
        <v>17</v>
      </c>
      <c r="W27" s="26">
        <f ca="1">ภ.9!$C$29</f>
        <v>58</v>
      </c>
      <c r="X27" s="25">
        <f ca="1">บช.ก.!$C$29</f>
        <v>44</v>
      </c>
      <c r="Y27" s="26">
        <f ca="1">บช.ก.!$D$29</f>
        <v>117</v>
      </c>
      <c r="Z27" s="25">
        <f ca="1">บช.สอท.!$B$29</f>
        <v>8</v>
      </c>
      <c r="AA27" s="26">
        <f ca="1">บช.สอท.!$C$29</f>
        <v>12</v>
      </c>
      <c r="AB27" s="25">
        <f ca="1">บช.ปส.!$B$29</f>
        <v>1</v>
      </c>
      <c r="AC27" s="26">
        <f ca="1">บช.ปส.!$C$29</f>
        <v>1</v>
      </c>
      <c r="AD27" s="25">
        <f ca="1">สตม.!$B$29</f>
        <v>673</v>
      </c>
      <c r="AE27" s="26">
        <f ca="1">สตม.!$C$29</f>
        <v>956</v>
      </c>
      <c r="AF27" s="25">
        <f ca="1">บช.ทท.!$B$29</f>
        <v>38</v>
      </c>
      <c r="AG27" s="26">
        <f ca="1">บช.ทท.!$C$29</f>
        <v>56</v>
      </c>
      <c r="AH27" s="25">
        <f ca="1">บช.ตชด.!$B$29</f>
        <v>16</v>
      </c>
      <c r="AI27" s="26">
        <f ca="1">บช.ตชด.!$C$29</f>
        <v>80</v>
      </c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</row>
    <row r="28" spans="1:65" ht="12.75">
      <c r="A28" s="14" t="s">
        <v>45</v>
      </c>
      <c r="B28" s="27"/>
      <c r="C28" s="28"/>
      <c r="D28" s="29">
        <f>บช.น.!$B$30</f>
        <v>0</v>
      </c>
      <c r="E28" s="30">
        <f>บช.น.!$C$30</f>
        <v>0</v>
      </c>
      <c r="F28" s="27">
        <f>ภ.1!$B$30</f>
        <v>0</v>
      </c>
      <c r="G28" s="28">
        <f>ภ.1!$C$30</f>
        <v>0</v>
      </c>
      <c r="H28" s="29">
        <f>ภ.2!$B$30</f>
        <v>0</v>
      </c>
      <c r="I28" s="30">
        <f>ภ.2!$C$30</f>
        <v>0</v>
      </c>
      <c r="J28" s="27">
        <f>ภ.3!$B$30</f>
        <v>0</v>
      </c>
      <c r="K28" s="28">
        <f>ภ.3!$C$30</f>
        <v>0</v>
      </c>
      <c r="L28" s="29">
        <f>ภ.4!$B$30</f>
        <v>0</v>
      </c>
      <c r="M28" s="30">
        <f>ภ.4!$C$30</f>
        <v>0</v>
      </c>
      <c r="N28" s="27">
        <f>ภ.5!$B$30</f>
        <v>0</v>
      </c>
      <c r="O28" s="28">
        <f>ภ.5!$C$30</f>
        <v>0</v>
      </c>
      <c r="P28" s="29">
        <f>ภ.6!$B$30</f>
        <v>0</v>
      </c>
      <c r="Q28" s="30">
        <f>ภ.6!$C$30</f>
        <v>0</v>
      </c>
      <c r="R28" s="27">
        <f>ภ.7!$B$30</f>
        <v>0</v>
      </c>
      <c r="S28" s="28">
        <f>ภ.7!$C$30</f>
        <v>0</v>
      </c>
      <c r="T28" s="29">
        <f>ภ.8!$B$30</f>
        <v>0</v>
      </c>
      <c r="U28" s="30">
        <f>ภ.8!$C$30</f>
        <v>0</v>
      </c>
      <c r="V28" s="27">
        <f>ภ.9!$B$30</f>
        <v>0</v>
      </c>
      <c r="W28" s="28">
        <f>ภ.9!$C$30</f>
        <v>0</v>
      </c>
      <c r="X28" s="29">
        <f>บช.ก.!$C$30</f>
        <v>0</v>
      </c>
      <c r="Y28" s="30">
        <f>บช.ก.!$D$30</f>
        <v>0</v>
      </c>
      <c r="Z28" s="27">
        <f>บช.สอท.!$B$30</f>
        <v>0</v>
      </c>
      <c r="AA28" s="28">
        <f>บช.สอท.!$C$30</f>
        <v>0</v>
      </c>
      <c r="AB28" s="29">
        <f>บช.ปส.!$B$30</f>
        <v>0</v>
      </c>
      <c r="AC28" s="30">
        <f>บช.ปส.!$C$30</f>
        <v>0</v>
      </c>
      <c r="AD28" s="27">
        <f>สตม.!$B$30</f>
        <v>0</v>
      </c>
      <c r="AE28" s="28">
        <f>สตม.!$C$30</f>
        <v>0</v>
      </c>
      <c r="AF28" s="29">
        <f>บช.ทท.!$B$30</f>
        <v>0</v>
      </c>
      <c r="AG28" s="30">
        <f>บช.ทท.!$C$30</f>
        <v>0</v>
      </c>
      <c r="AH28" s="27">
        <f>บช.ตชด.!$B$30</f>
        <v>0</v>
      </c>
      <c r="AI28" s="28">
        <f>บช.ตชด.!$C$30</f>
        <v>0</v>
      </c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</row>
    <row r="29" spans="1:65" ht="12.75">
      <c r="A29" s="22" t="s">
        <v>46</v>
      </c>
      <c r="B29" s="19">
        <f t="shared" ref="B29:C29" ca="1" si="19">D29+F29+H29+J29+L29+N29+P29+R29+T29+V29+X29+Z29+AB29+AD29+AF29+AH29</f>
        <v>6</v>
      </c>
      <c r="C29" s="20">
        <f t="shared" ca="1" si="19"/>
        <v>8</v>
      </c>
      <c r="D29" s="17">
        <f ca="1">บช.น.!$B$31</f>
        <v>3</v>
      </c>
      <c r="E29" s="18">
        <f ca="1">บช.น.!$C$31</f>
        <v>5</v>
      </c>
      <c r="F29" s="19">
        <f ca="1">ภ.1!$B$31</f>
        <v>0</v>
      </c>
      <c r="G29" s="20">
        <f ca="1">ภ.1!$C$31</f>
        <v>0</v>
      </c>
      <c r="H29" s="17">
        <f ca="1">ภ.2!$B$31</f>
        <v>1</v>
      </c>
      <c r="I29" s="18">
        <f ca="1">ภ.2!$C$31</f>
        <v>1</v>
      </c>
      <c r="J29" s="19">
        <f ca="1">ภ.3!$B$31</f>
        <v>0</v>
      </c>
      <c r="K29" s="20">
        <f ca="1">ภ.3!$C$31</f>
        <v>0</v>
      </c>
      <c r="L29" s="17">
        <f ca="1">ภ.4!$B$31</f>
        <v>1</v>
      </c>
      <c r="M29" s="18">
        <f ca="1">ภ.4!$C$31</f>
        <v>1</v>
      </c>
      <c r="N29" s="19">
        <f ca="1">ภ.5!$B$31</f>
        <v>0</v>
      </c>
      <c r="O29" s="20">
        <f ca="1">ภ.5!$C$31</f>
        <v>0</v>
      </c>
      <c r="P29" s="17">
        <f ca="1">ภ.6!$B$31</f>
        <v>0</v>
      </c>
      <c r="Q29" s="18">
        <f ca="1">ภ.6!$C$31</f>
        <v>0</v>
      </c>
      <c r="R29" s="19">
        <f ca="1">ภ.7!$B$31</f>
        <v>0</v>
      </c>
      <c r="S29" s="20">
        <f ca="1">ภ.7!$C$31</f>
        <v>0</v>
      </c>
      <c r="T29" s="17">
        <f ca="1">ภ.8!$B$31</f>
        <v>0</v>
      </c>
      <c r="U29" s="18">
        <f ca="1">ภ.8!$C$31</f>
        <v>0</v>
      </c>
      <c r="V29" s="19">
        <f ca="1">ภ.9!$B$31</f>
        <v>0</v>
      </c>
      <c r="W29" s="20">
        <f ca="1">ภ.9!$C$31</f>
        <v>0</v>
      </c>
      <c r="X29" s="17">
        <f ca="1">บช.ก.!$C$31</f>
        <v>0</v>
      </c>
      <c r="Y29" s="18">
        <f ca="1">บช.ก.!$D$31</f>
        <v>0</v>
      </c>
      <c r="Z29" s="19">
        <f ca="1">บช.สอท.!$B$31</f>
        <v>1</v>
      </c>
      <c r="AA29" s="20">
        <f ca="1">บช.สอท.!$C$31</f>
        <v>1</v>
      </c>
      <c r="AB29" s="17">
        <f ca="1">บช.ปส.!$B$31</f>
        <v>0</v>
      </c>
      <c r="AC29" s="18">
        <f ca="1">บช.ปส.!$C$31</f>
        <v>0</v>
      </c>
      <c r="AD29" s="19">
        <f ca="1">สตม.!$B$31</f>
        <v>0</v>
      </c>
      <c r="AE29" s="20">
        <f ca="1">สตม.!$C$31</f>
        <v>0</v>
      </c>
      <c r="AF29" s="17">
        <f ca="1">บช.ทท.!$B$31</f>
        <v>0</v>
      </c>
      <c r="AG29" s="18">
        <f ca="1">บช.ทท.!$C$31</f>
        <v>0</v>
      </c>
      <c r="AH29" s="19">
        <f ca="1">บช.ตชด.!$B$31</f>
        <v>0</v>
      </c>
      <c r="AI29" s="20">
        <f ca="1">บช.ตชด.!$C$31</f>
        <v>0</v>
      </c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</row>
    <row r="30" spans="1:65" ht="12.75">
      <c r="A30" s="22" t="s">
        <v>47</v>
      </c>
      <c r="B30" s="19">
        <f t="shared" ref="B30:C30" ca="1" si="20">D30+F30+H30+J30+L30+N30+P30+R30+T30+V30+X30+Z30+AB30+AD30+AF30+AH30</f>
        <v>834</v>
      </c>
      <c r="C30" s="20">
        <f t="shared" ca="1" si="20"/>
        <v>822</v>
      </c>
      <c r="D30" s="17">
        <f ca="1">บช.น.!$B$32</f>
        <v>16</v>
      </c>
      <c r="E30" s="18">
        <f ca="1">บช.น.!$C$32</f>
        <v>17</v>
      </c>
      <c r="F30" s="19">
        <f ca="1">ภ.1!$B$32</f>
        <v>73</v>
      </c>
      <c r="G30" s="20">
        <f ca="1">ภ.1!$C$32</f>
        <v>73</v>
      </c>
      <c r="H30" s="17">
        <f ca="1">ภ.2!$B$32</f>
        <v>83</v>
      </c>
      <c r="I30" s="18">
        <f ca="1">ภ.2!$C$32</f>
        <v>83</v>
      </c>
      <c r="J30" s="19">
        <f ca="1">ภ.3!$B$32</f>
        <v>64</v>
      </c>
      <c r="K30" s="20">
        <f ca="1">ภ.3!$C$32</f>
        <v>65</v>
      </c>
      <c r="L30" s="17">
        <f ca="1">ภ.4!$B$32</f>
        <v>239</v>
      </c>
      <c r="M30" s="18">
        <f ca="1">ภ.4!$C$32</f>
        <v>234</v>
      </c>
      <c r="N30" s="19">
        <f ca="1">ภ.5!$B$32</f>
        <v>29</v>
      </c>
      <c r="O30" s="20">
        <f ca="1">ภ.5!$C$32</f>
        <v>23</v>
      </c>
      <c r="P30" s="17">
        <f ca="1">ภ.6!$B$32</f>
        <v>58</v>
      </c>
      <c r="Q30" s="18">
        <f ca="1">ภ.6!$C$32</f>
        <v>57</v>
      </c>
      <c r="R30" s="19">
        <f ca="1">ภ.7!$B$32</f>
        <v>127</v>
      </c>
      <c r="S30" s="20">
        <f ca="1">ภ.7!$C$32</f>
        <v>127</v>
      </c>
      <c r="T30" s="17">
        <f ca="1">ภ.8!$B$32</f>
        <v>47</v>
      </c>
      <c r="U30" s="18">
        <f ca="1">ภ.8!$C$32</f>
        <v>44</v>
      </c>
      <c r="V30" s="19">
        <f ca="1">ภ.9!$B$32</f>
        <v>24</v>
      </c>
      <c r="W30" s="20">
        <f ca="1">ภ.9!$C$32</f>
        <v>25</v>
      </c>
      <c r="X30" s="17">
        <f ca="1">บช.ก.!$C$32</f>
        <v>25</v>
      </c>
      <c r="Y30" s="18">
        <f ca="1">บช.ก.!$D$32</f>
        <v>24</v>
      </c>
      <c r="Z30" s="19">
        <f ca="1">บช.สอท.!$B$32</f>
        <v>16</v>
      </c>
      <c r="AA30" s="20">
        <f ca="1">บช.สอท.!$C$32</f>
        <v>16</v>
      </c>
      <c r="AB30" s="17">
        <f ca="1">บช.ปส.!$B$32</f>
        <v>1</v>
      </c>
      <c r="AC30" s="18">
        <f ca="1">บช.ปส.!$C$32</f>
        <v>1</v>
      </c>
      <c r="AD30" s="19">
        <f ca="1">สตม.!$B$32</f>
        <v>23</v>
      </c>
      <c r="AE30" s="20">
        <f ca="1">สตม.!$C$32</f>
        <v>23</v>
      </c>
      <c r="AF30" s="17">
        <f ca="1">บช.ทท.!$B$32</f>
        <v>4</v>
      </c>
      <c r="AG30" s="18">
        <f ca="1">บช.ทท.!$C$32</f>
        <v>4</v>
      </c>
      <c r="AH30" s="19">
        <f ca="1">บช.ตชด.!$B$32</f>
        <v>5</v>
      </c>
      <c r="AI30" s="20">
        <f ca="1">บช.ตชด.!$C$32</f>
        <v>6</v>
      </c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</row>
    <row r="31" spans="1:65" ht="12.75">
      <c r="A31" s="22" t="s">
        <v>48</v>
      </c>
      <c r="B31" s="19">
        <f t="shared" ref="B31:C31" ca="1" si="21">D31+F31+H31+J31+L31+N31+P31+R31+T31+V31+X31+Z31+AB31+AD31+AF31+AH31</f>
        <v>186</v>
      </c>
      <c r="C31" s="20">
        <f t="shared" ca="1" si="21"/>
        <v>187</v>
      </c>
      <c r="D31" s="17">
        <f ca="1">บช.น.!$B$33</f>
        <v>1</v>
      </c>
      <c r="E31" s="18">
        <f ca="1">บช.น.!$C$33</f>
        <v>1</v>
      </c>
      <c r="F31" s="19">
        <f ca="1">ภ.1!$B$33</f>
        <v>92</v>
      </c>
      <c r="G31" s="20">
        <f ca="1">ภ.1!$C$33</f>
        <v>93</v>
      </c>
      <c r="H31" s="17">
        <f ca="1">ภ.2!$B$33</f>
        <v>8</v>
      </c>
      <c r="I31" s="18">
        <f ca="1">ภ.2!$C$33</f>
        <v>8</v>
      </c>
      <c r="J31" s="19">
        <f ca="1">ภ.3!$B$33</f>
        <v>1</v>
      </c>
      <c r="K31" s="20">
        <f ca="1">ภ.3!$C$33</f>
        <v>1</v>
      </c>
      <c r="L31" s="17">
        <f ca="1">ภ.4!$B$33</f>
        <v>10</v>
      </c>
      <c r="M31" s="18">
        <f ca="1">ภ.4!$C$33</f>
        <v>10</v>
      </c>
      <c r="N31" s="19">
        <f ca="1">ภ.5!$B$33</f>
        <v>1</v>
      </c>
      <c r="O31" s="20">
        <f ca="1">ภ.5!$C$33</f>
        <v>1</v>
      </c>
      <c r="P31" s="17">
        <f ca="1">ภ.6!$B$33</f>
        <v>10</v>
      </c>
      <c r="Q31" s="18">
        <f ca="1">ภ.6!$C$33</f>
        <v>11</v>
      </c>
      <c r="R31" s="19">
        <f ca="1">ภ.7!$B$33</f>
        <v>33</v>
      </c>
      <c r="S31" s="20">
        <f ca="1">ภ.7!$C$33</f>
        <v>32</v>
      </c>
      <c r="T31" s="17">
        <f ca="1">ภ.8!$B$33</f>
        <v>15</v>
      </c>
      <c r="U31" s="18">
        <f ca="1">ภ.8!$C$33</f>
        <v>15</v>
      </c>
      <c r="V31" s="19">
        <f ca="1">ภ.9!$B$33</f>
        <v>9</v>
      </c>
      <c r="W31" s="20">
        <f ca="1">ภ.9!$C$33</f>
        <v>9</v>
      </c>
      <c r="X31" s="17">
        <f ca="1">บช.ก.!$C$33</f>
        <v>1</v>
      </c>
      <c r="Y31" s="18">
        <f ca="1">บช.ก.!$D$33</f>
        <v>1</v>
      </c>
      <c r="Z31" s="19">
        <f ca="1">บช.สอท.!$B$33</f>
        <v>0</v>
      </c>
      <c r="AA31" s="20">
        <f ca="1">บช.สอท.!$C$33</f>
        <v>0</v>
      </c>
      <c r="AB31" s="17">
        <f ca="1">บช.ปส.!$B$33</f>
        <v>0</v>
      </c>
      <c r="AC31" s="18">
        <f ca="1">บช.ปส.!$C$33</f>
        <v>0</v>
      </c>
      <c r="AD31" s="19">
        <f ca="1">สตม.!$B$33</f>
        <v>1</v>
      </c>
      <c r="AE31" s="20">
        <f ca="1">สตม.!$C$33</f>
        <v>1</v>
      </c>
      <c r="AF31" s="17">
        <f ca="1">บช.ทท.!$B$33</f>
        <v>2</v>
      </c>
      <c r="AG31" s="18">
        <f ca="1">บช.ทท.!$C$33</f>
        <v>2</v>
      </c>
      <c r="AH31" s="19">
        <f ca="1">บช.ตชด.!$B$33</f>
        <v>2</v>
      </c>
      <c r="AI31" s="20">
        <f ca="1">บช.ตชด.!$C$33</f>
        <v>2</v>
      </c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</row>
    <row r="32" spans="1:65" ht="12.75">
      <c r="A32" s="22" t="s">
        <v>49</v>
      </c>
      <c r="B32" s="19">
        <f t="shared" ref="B32:C32" ca="1" si="22">D32+F32+H32+J32+L32+N32+P32+R32+T32+V32+X32+Z32+AB32+AD32+AF32+AH32</f>
        <v>14</v>
      </c>
      <c r="C32" s="20">
        <f t="shared" ca="1" si="22"/>
        <v>14</v>
      </c>
      <c r="D32" s="17">
        <f ca="1">บช.น.!$B$34</f>
        <v>4</v>
      </c>
      <c r="E32" s="18">
        <f ca="1">บช.น.!$C$34</f>
        <v>4</v>
      </c>
      <c r="F32" s="19">
        <f ca="1">ภ.1!$B$34</f>
        <v>4</v>
      </c>
      <c r="G32" s="20">
        <f ca="1">ภ.1!$C$34</f>
        <v>4</v>
      </c>
      <c r="H32" s="17">
        <f ca="1">ภ.2!$B$34</f>
        <v>2</v>
      </c>
      <c r="I32" s="18">
        <f ca="1">ภ.2!$C$34</f>
        <v>2</v>
      </c>
      <c r="J32" s="19">
        <f ca="1">ภ.3!$B$34</f>
        <v>0</v>
      </c>
      <c r="K32" s="20">
        <f ca="1">ภ.3!$C$34</f>
        <v>0</v>
      </c>
      <c r="L32" s="17">
        <f ca="1">ภ.4!$B$34</f>
        <v>1</v>
      </c>
      <c r="M32" s="18">
        <f ca="1">ภ.4!$C$34</f>
        <v>1</v>
      </c>
      <c r="N32" s="19">
        <f ca="1">ภ.5!$B$34</f>
        <v>0</v>
      </c>
      <c r="O32" s="20">
        <f ca="1">ภ.5!$C$34</f>
        <v>0</v>
      </c>
      <c r="P32" s="17">
        <f ca="1">ภ.6!$B$34</f>
        <v>0</v>
      </c>
      <c r="Q32" s="18">
        <f ca="1">ภ.6!$C$34</f>
        <v>0</v>
      </c>
      <c r="R32" s="19">
        <f ca="1">ภ.7!$B$34</f>
        <v>0</v>
      </c>
      <c r="S32" s="20">
        <f ca="1">ภ.7!$C$34</f>
        <v>0</v>
      </c>
      <c r="T32" s="17">
        <f ca="1">ภ.8!$B$34</f>
        <v>0</v>
      </c>
      <c r="U32" s="18">
        <f ca="1">ภ.8!$C$34</f>
        <v>0</v>
      </c>
      <c r="V32" s="19">
        <f ca="1">ภ.9!$B$34</f>
        <v>3</v>
      </c>
      <c r="W32" s="20">
        <f ca="1">ภ.9!$C$34</f>
        <v>3</v>
      </c>
      <c r="X32" s="17">
        <f ca="1">บช.ก.!$C$34</f>
        <v>0</v>
      </c>
      <c r="Y32" s="18">
        <f ca="1">บช.ก.!$D$34</f>
        <v>0</v>
      </c>
      <c r="Z32" s="19">
        <f ca="1">บช.สอท.!$B$34</f>
        <v>0</v>
      </c>
      <c r="AA32" s="20">
        <f ca="1">บช.สอท.!$C$34</f>
        <v>0</v>
      </c>
      <c r="AB32" s="17">
        <f ca="1">บช.ปส.!$B$34</f>
        <v>0</v>
      </c>
      <c r="AC32" s="18">
        <f ca="1">บช.ปส.!$C$34</f>
        <v>0</v>
      </c>
      <c r="AD32" s="19">
        <f ca="1">สตม.!$B$34</f>
        <v>0</v>
      </c>
      <c r="AE32" s="20">
        <f ca="1">สตม.!$C$34</f>
        <v>0</v>
      </c>
      <c r="AF32" s="17">
        <f ca="1">บช.ทท.!$B$34</f>
        <v>0</v>
      </c>
      <c r="AG32" s="18">
        <f ca="1">บช.ทท.!$C$34</f>
        <v>0</v>
      </c>
      <c r="AH32" s="19">
        <f ca="1">บช.ตชด.!$B$34</f>
        <v>0</v>
      </c>
      <c r="AI32" s="20">
        <f ca="1">บช.ตชด.!$C$34</f>
        <v>0</v>
      </c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</row>
    <row r="33" spans="1:65" ht="12.75">
      <c r="A33" s="22" t="s">
        <v>50</v>
      </c>
      <c r="B33" s="19">
        <f t="shared" ref="B33:C33" ca="1" si="23">D33+F33+H33+J33+L33+N33+P33+R33+T33+V33+X33+Z33+AB33+AD33+AF33+AH33</f>
        <v>326</v>
      </c>
      <c r="C33" s="20">
        <f t="shared" ca="1" si="23"/>
        <v>313</v>
      </c>
      <c r="D33" s="17">
        <f ca="1">บช.น.!$B$35</f>
        <v>0</v>
      </c>
      <c r="E33" s="18">
        <f ca="1">บช.น.!$C$35</f>
        <v>0</v>
      </c>
      <c r="F33" s="19">
        <f ca="1">ภ.1!$B$35</f>
        <v>10</v>
      </c>
      <c r="G33" s="20">
        <f ca="1">ภ.1!$C$35</f>
        <v>10</v>
      </c>
      <c r="H33" s="17">
        <f ca="1">ภ.2!$B$35</f>
        <v>31</v>
      </c>
      <c r="I33" s="18">
        <f ca="1">ภ.2!$C$35</f>
        <v>31</v>
      </c>
      <c r="J33" s="19">
        <f ca="1">ภ.3!$B$35</f>
        <v>67</v>
      </c>
      <c r="K33" s="20">
        <f ca="1">ภ.3!$C$35</f>
        <v>67</v>
      </c>
      <c r="L33" s="17">
        <f ca="1">ภ.4!$B$35</f>
        <v>31</v>
      </c>
      <c r="M33" s="18">
        <f ca="1">ภ.4!$C$35</f>
        <v>31</v>
      </c>
      <c r="N33" s="19">
        <f ca="1">ภ.5!$B$35</f>
        <v>16</v>
      </c>
      <c r="O33" s="20">
        <f ca="1">ภ.5!$C$35</f>
        <v>6</v>
      </c>
      <c r="P33" s="17">
        <f ca="1">ภ.6!$B$35</f>
        <v>11</v>
      </c>
      <c r="Q33" s="18">
        <f ca="1">ภ.6!$C$35</f>
        <v>10</v>
      </c>
      <c r="R33" s="19">
        <f ca="1">ภ.7!$B$35</f>
        <v>10</v>
      </c>
      <c r="S33" s="20">
        <f ca="1">ภ.7!$C$35</f>
        <v>9</v>
      </c>
      <c r="T33" s="17">
        <f ca="1">ภ.8!$B$35</f>
        <v>54</v>
      </c>
      <c r="U33" s="18">
        <f ca="1">ภ.8!$C$35</f>
        <v>53</v>
      </c>
      <c r="V33" s="19">
        <f ca="1">ภ.9!$B$35</f>
        <v>87</v>
      </c>
      <c r="W33" s="20">
        <f ca="1">ภ.9!$C$35</f>
        <v>87</v>
      </c>
      <c r="X33" s="17">
        <f ca="1">บช.ก.!$C$35</f>
        <v>2</v>
      </c>
      <c r="Y33" s="18">
        <f ca="1">บช.ก.!$D$35</f>
        <v>2</v>
      </c>
      <c r="Z33" s="19">
        <f ca="1">บช.สอท.!$B$35</f>
        <v>0</v>
      </c>
      <c r="AA33" s="20">
        <f ca="1">บช.สอท.!$C$35</f>
        <v>0</v>
      </c>
      <c r="AB33" s="17">
        <f ca="1">บช.ปส.!$B$35</f>
        <v>0</v>
      </c>
      <c r="AC33" s="18">
        <f ca="1">บช.ปส.!$C$35</f>
        <v>0</v>
      </c>
      <c r="AD33" s="19">
        <f ca="1">สตม.!$B$35</f>
        <v>2</v>
      </c>
      <c r="AE33" s="20">
        <f ca="1">สตม.!$C$35</f>
        <v>2</v>
      </c>
      <c r="AF33" s="17">
        <f ca="1">บช.ทท.!$B$35</f>
        <v>5</v>
      </c>
      <c r="AG33" s="18">
        <f ca="1">บช.ทท.!$C$35</f>
        <v>5</v>
      </c>
      <c r="AH33" s="19">
        <f ca="1">บช.ตชด.!$B$35</f>
        <v>0</v>
      </c>
      <c r="AI33" s="20">
        <f ca="1">บช.ตชด.!$C$35</f>
        <v>0</v>
      </c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</row>
    <row r="34" spans="1:65" ht="12.75">
      <c r="A34" s="24" t="s">
        <v>32</v>
      </c>
      <c r="B34" s="25">
        <f t="shared" ref="B34:C34" ca="1" si="24">D34+F34+H34+J34+L34+N34+P34+R34+T34+V34+X34+Z34+AB34+AD34+AF34+AH34</f>
        <v>1366</v>
      </c>
      <c r="C34" s="26">
        <f t="shared" ca="1" si="24"/>
        <v>1344</v>
      </c>
      <c r="D34" s="25">
        <f ca="1">บช.น.!$B$36</f>
        <v>24</v>
      </c>
      <c r="E34" s="26">
        <f ca="1">บช.น.!$C$36</f>
        <v>27</v>
      </c>
      <c r="F34" s="25">
        <f ca="1">ภ.1!$B$36</f>
        <v>179</v>
      </c>
      <c r="G34" s="26">
        <f ca="1">ภ.1!$C$36</f>
        <v>180</v>
      </c>
      <c r="H34" s="25">
        <f ca="1">ภ.2!$B$36</f>
        <v>125</v>
      </c>
      <c r="I34" s="26">
        <f ca="1">ภ.2!$C$36</f>
        <v>125</v>
      </c>
      <c r="J34" s="25">
        <f ca="1">ภ.3!$B$36</f>
        <v>132</v>
      </c>
      <c r="K34" s="26">
        <f ca="1">ภ.3!$C$36</f>
        <v>133</v>
      </c>
      <c r="L34" s="25">
        <f ca="1">ภ.4!$B$36</f>
        <v>282</v>
      </c>
      <c r="M34" s="26">
        <f ca="1">ภ.4!$C$36</f>
        <v>277</v>
      </c>
      <c r="N34" s="25">
        <f ca="1">ภ.5!$B$36</f>
        <v>46</v>
      </c>
      <c r="O34" s="26">
        <f ca="1">ภ.5!$C$36</f>
        <v>30</v>
      </c>
      <c r="P34" s="25">
        <f ca="1">ภ.6!$B$36</f>
        <v>79</v>
      </c>
      <c r="Q34" s="26">
        <f ca="1">ภ.6!$C$36</f>
        <v>78</v>
      </c>
      <c r="R34" s="25">
        <f ca="1">ภ.7!$B$36</f>
        <v>170</v>
      </c>
      <c r="S34" s="26">
        <f ca="1">ภ.7!$C$36</f>
        <v>168</v>
      </c>
      <c r="T34" s="25">
        <f ca="1">ภ.8!$B$36</f>
        <v>116</v>
      </c>
      <c r="U34" s="26">
        <f ca="1">ภ.8!$C$36</f>
        <v>112</v>
      </c>
      <c r="V34" s="25">
        <f ca="1">ภ.9!$B$36</f>
        <v>123</v>
      </c>
      <c r="W34" s="26">
        <f ca="1">ภ.9!$C$36</f>
        <v>124</v>
      </c>
      <c r="X34" s="25">
        <f ca="1">บช.ก.!$C$36</f>
        <v>28</v>
      </c>
      <c r="Y34" s="26">
        <f ca="1">บช.ก.!$D$36</f>
        <v>27</v>
      </c>
      <c r="Z34" s="25">
        <f ca="1">บช.สอท.!$B$36</f>
        <v>17</v>
      </c>
      <c r="AA34" s="26">
        <f ca="1">บช.สอท.!$C$36</f>
        <v>17</v>
      </c>
      <c r="AB34" s="25">
        <f ca="1">บช.ปส.!$B$36</f>
        <v>1</v>
      </c>
      <c r="AC34" s="26">
        <f ca="1">บช.ปส.!$C$36</f>
        <v>1</v>
      </c>
      <c r="AD34" s="25">
        <f ca="1">สตม.!$B$36</f>
        <v>26</v>
      </c>
      <c r="AE34" s="26">
        <f ca="1">สตม.!$C$36</f>
        <v>26</v>
      </c>
      <c r="AF34" s="25">
        <f ca="1">บช.ทท.!$B$36</f>
        <v>11</v>
      </c>
      <c r="AG34" s="26">
        <f ca="1">บช.ทท.!$C$36</f>
        <v>11</v>
      </c>
      <c r="AH34" s="25">
        <f ca="1">บช.ตชด.!$B$36</f>
        <v>7</v>
      </c>
      <c r="AI34" s="26">
        <f ca="1">บช.ตชด.!$C$36</f>
        <v>8</v>
      </c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</row>
    <row r="35" spans="1:65" ht="12.75">
      <c r="A35" s="33" t="s">
        <v>51</v>
      </c>
      <c r="B35" s="34">
        <f t="shared" ref="B35:C35" ca="1" si="25">D35+F35+H35+J35+L35+N35+P35+R35+T35+V35+X35+Z35+AB35+AD35+AF35+AH35</f>
        <v>28</v>
      </c>
      <c r="C35" s="35">
        <f t="shared" ca="1" si="25"/>
        <v>62</v>
      </c>
      <c r="D35" s="36">
        <f ca="1">บช.น.!$B$37</f>
        <v>1</v>
      </c>
      <c r="E35" s="37">
        <f ca="1">บช.น.!$C$37</f>
        <v>4</v>
      </c>
      <c r="F35" s="34">
        <f ca="1">ภ.1!$B$37</f>
        <v>2</v>
      </c>
      <c r="G35" s="35">
        <f ca="1">ภ.1!$C$37</f>
        <v>2</v>
      </c>
      <c r="H35" s="36">
        <f ca="1">ภ.2!$B$37</f>
        <v>13</v>
      </c>
      <c r="I35" s="37">
        <f ca="1">ภ.2!$C$37</f>
        <v>45</v>
      </c>
      <c r="J35" s="34">
        <f ca="1">ภ.3!$B$37</f>
        <v>0</v>
      </c>
      <c r="K35" s="35">
        <f ca="1">ภ.3!$C$37</f>
        <v>0</v>
      </c>
      <c r="L35" s="36">
        <f ca="1">ภ.4!$B$37</f>
        <v>8</v>
      </c>
      <c r="M35" s="37">
        <f ca="1">ภ.4!$C$37</f>
        <v>4</v>
      </c>
      <c r="N35" s="34">
        <f ca="1">ภ.5!$B$37</f>
        <v>0</v>
      </c>
      <c r="O35" s="35">
        <f ca="1">ภ.5!$C$37</f>
        <v>0</v>
      </c>
      <c r="P35" s="36">
        <f ca="1">ภ.6!$B$37</f>
        <v>0</v>
      </c>
      <c r="Q35" s="37">
        <f ca="1">ภ.6!$C$37</f>
        <v>0</v>
      </c>
      <c r="R35" s="34">
        <f ca="1">ภ.7!$B$37</f>
        <v>0</v>
      </c>
      <c r="S35" s="35">
        <f ca="1">ภ.7!$C$37</f>
        <v>0</v>
      </c>
      <c r="T35" s="36">
        <f ca="1">ภ.8!$B$37</f>
        <v>3</v>
      </c>
      <c r="U35" s="37">
        <f ca="1">ภ.8!$C$37</f>
        <v>3</v>
      </c>
      <c r="V35" s="34">
        <f ca="1">ภ.9!$B$37</f>
        <v>0</v>
      </c>
      <c r="W35" s="35">
        <f ca="1">ภ.9!$C$37</f>
        <v>0</v>
      </c>
      <c r="X35" s="36">
        <f ca="1">บช.ก.!$C$37</f>
        <v>1</v>
      </c>
      <c r="Y35" s="37">
        <f ca="1">บช.ก.!$D$37</f>
        <v>4</v>
      </c>
      <c r="Z35" s="34">
        <f ca="1">บช.สอท.!$B$37</f>
        <v>0</v>
      </c>
      <c r="AA35" s="35">
        <f ca="1">บช.สอท.!$C$37</f>
        <v>0</v>
      </c>
      <c r="AB35" s="36">
        <f ca="1">บช.ปส.!$B$37</f>
        <v>0</v>
      </c>
      <c r="AC35" s="37">
        <f ca="1">บช.ปส.!$C$37</f>
        <v>0</v>
      </c>
      <c r="AD35" s="34">
        <f ca="1">สตม.!$B$37</f>
        <v>0</v>
      </c>
      <c r="AE35" s="35">
        <f ca="1">สตม.!$C$37</f>
        <v>0</v>
      </c>
      <c r="AF35" s="36">
        <f ca="1">บช.ทท.!$B$37</f>
        <v>0</v>
      </c>
      <c r="AG35" s="37">
        <f ca="1">บช.ทท.!$C$37</f>
        <v>0</v>
      </c>
      <c r="AH35" s="34">
        <f ca="1">บช.ตชด.!$B$37</f>
        <v>0</v>
      </c>
      <c r="AI35" s="35">
        <f ca="1">บช.ตชด.!$C$37</f>
        <v>0</v>
      </c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</row>
    <row r="36" spans="1:65" ht="12.75">
      <c r="A36" s="38" t="s">
        <v>52</v>
      </c>
      <c r="B36" s="39">
        <f t="shared" ref="B36:C36" ca="1" si="26">D36+F36+H36+J36+L36+N36+P36+R36+T36+V36+X36+Z36+AB36+AD36+AF36+AH36</f>
        <v>6454</v>
      </c>
      <c r="C36" s="40">
        <f t="shared" ca="1" si="26"/>
        <v>6204</v>
      </c>
      <c r="D36" s="41">
        <f ca="1">บช.น.!$B$38</f>
        <v>468</v>
      </c>
      <c r="E36" s="42">
        <f ca="1">บช.น.!$C$38</f>
        <v>465</v>
      </c>
      <c r="F36" s="39">
        <f ca="1">ภ.1!$B$38</f>
        <v>640</v>
      </c>
      <c r="G36" s="40">
        <f ca="1">ภ.1!$C$38</f>
        <v>578</v>
      </c>
      <c r="H36" s="41">
        <f ca="1">ภ.2!$B$38</f>
        <v>576</v>
      </c>
      <c r="I36" s="42">
        <f ca="1">ภ.2!$C$38</f>
        <v>576</v>
      </c>
      <c r="J36" s="39">
        <f ca="1">ภ.3!$B$38</f>
        <v>331</v>
      </c>
      <c r="K36" s="40">
        <f ca="1">ภ.3!$C$38</f>
        <v>319</v>
      </c>
      <c r="L36" s="41">
        <f ca="1">ภ.4!$B$38</f>
        <v>578</v>
      </c>
      <c r="M36" s="42">
        <f ca="1">ภ.4!$C$38</f>
        <v>570</v>
      </c>
      <c r="N36" s="39">
        <f ca="1">ภ.5!$B$38</f>
        <v>563</v>
      </c>
      <c r="O36" s="40">
        <f ca="1">ภ.5!$C$38</f>
        <v>544</v>
      </c>
      <c r="P36" s="41">
        <f ca="1">ภ.6!$B$38</f>
        <v>333</v>
      </c>
      <c r="Q36" s="42">
        <f ca="1">ภ.6!$C$38</f>
        <v>333</v>
      </c>
      <c r="R36" s="39">
        <f ca="1">ภ.7!$B$38</f>
        <v>402</v>
      </c>
      <c r="S36" s="40">
        <f ca="1">ภ.7!$C$38</f>
        <v>402</v>
      </c>
      <c r="T36" s="41">
        <f ca="1">ภ.8!$B$38</f>
        <v>301</v>
      </c>
      <c r="U36" s="42">
        <f ca="1">ภ.8!$C$38</f>
        <v>301</v>
      </c>
      <c r="V36" s="39">
        <f ca="1">ภ.9!$B$38</f>
        <v>305</v>
      </c>
      <c r="W36" s="40">
        <f ca="1">ภ.9!$C$38</f>
        <v>286</v>
      </c>
      <c r="X36" s="41">
        <f ca="1">บช.ก.!$C$38</f>
        <v>861</v>
      </c>
      <c r="Y36" s="42">
        <f ca="1">บช.ก.!$D$38</f>
        <v>790</v>
      </c>
      <c r="Z36" s="39">
        <f ca="1">บช.สอท.!$B$38</f>
        <v>315</v>
      </c>
      <c r="AA36" s="40">
        <f ca="1">บช.สอท.!$C$38</f>
        <v>315</v>
      </c>
      <c r="AB36" s="41">
        <f ca="1">บช.ปส.!$B$38</f>
        <v>192</v>
      </c>
      <c r="AC36" s="42">
        <f ca="1">บช.ปส.!$C$38</f>
        <v>174</v>
      </c>
      <c r="AD36" s="39">
        <f ca="1">สตม.!$B$38</f>
        <v>349</v>
      </c>
      <c r="AE36" s="40">
        <f ca="1">สตม.!$C$38</f>
        <v>323</v>
      </c>
      <c r="AF36" s="41">
        <f ca="1">บช.ทท.!$B$38</f>
        <v>231</v>
      </c>
      <c r="AG36" s="42">
        <f ca="1">บช.ทท.!$C$38</f>
        <v>219</v>
      </c>
      <c r="AH36" s="39">
        <f ca="1">บช.ตชด.!$B$38</f>
        <v>9</v>
      </c>
      <c r="AI36" s="40">
        <f ca="1">บช.ตชด.!$C$38</f>
        <v>9</v>
      </c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</row>
    <row r="37" spans="1:65" ht="12.75">
      <c r="A37" s="43" t="s">
        <v>20</v>
      </c>
      <c r="B37" s="44">
        <f t="shared" ref="B37:AI37" ca="1" si="27">SUM(B13,B22,B27,B34,B35,B36)</f>
        <v>21218</v>
      </c>
      <c r="C37" s="45">
        <f t="shared" ca="1" si="27"/>
        <v>22800</v>
      </c>
      <c r="D37" s="44">
        <f t="shared" ca="1" si="27"/>
        <v>998</v>
      </c>
      <c r="E37" s="45">
        <f t="shared" ca="1" si="27"/>
        <v>1104</v>
      </c>
      <c r="F37" s="44">
        <f t="shared" ca="1" si="27"/>
        <v>1767</v>
      </c>
      <c r="G37" s="45">
        <f t="shared" ca="1" si="27"/>
        <v>1841</v>
      </c>
      <c r="H37" s="44">
        <f t="shared" ca="1" si="27"/>
        <v>1934</v>
      </c>
      <c r="I37" s="45">
        <f t="shared" ca="1" si="27"/>
        <v>2101</v>
      </c>
      <c r="J37" s="44">
        <f t="shared" ca="1" si="27"/>
        <v>1889</v>
      </c>
      <c r="K37" s="45">
        <f t="shared" ca="1" si="27"/>
        <v>1999</v>
      </c>
      <c r="L37" s="44">
        <f t="shared" ca="1" si="27"/>
        <v>5470</v>
      </c>
      <c r="M37" s="45">
        <f t="shared" ca="1" si="27"/>
        <v>5766</v>
      </c>
      <c r="N37" s="44">
        <f t="shared" ca="1" si="27"/>
        <v>1135</v>
      </c>
      <c r="O37" s="45">
        <f t="shared" ca="1" si="27"/>
        <v>1018</v>
      </c>
      <c r="P37" s="44">
        <f t="shared" ca="1" si="27"/>
        <v>1120</v>
      </c>
      <c r="Q37" s="45">
        <f t="shared" ca="1" si="27"/>
        <v>1188</v>
      </c>
      <c r="R37" s="44">
        <f t="shared" ca="1" si="27"/>
        <v>1420</v>
      </c>
      <c r="S37" s="45">
        <f t="shared" ca="1" si="27"/>
        <v>1587</v>
      </c>
      <c r="T37" s="44">
        <f t="shared" ca="1" si="27"/>
        <v>1101</v>
      </c>
      <c r="U37" s="45">
        <f t="shared" ca="1" si="27"/>
        <v>1218</v>
      </c>
      <c r="V37" s="44">
        <f t="shared" ca="1" si="27"/>
        <v>960</v>
      </c>
      <c r="W37" s="45">
        <f t="shared" ca="1" si="27"/>
        <v>1043</v>
      </c>
      <c r="X37" s="44">
        <f t="shared" ca="1" si="27"/>
        <v>1128</v>
      </c>
      <c r="Y37" s="45">
        <f t="shared" ca="1" si="27"/>
        <v>1250</v>
      </c>
      <c r="Z37" s="44">
        <f t="shared" ca="1" si="27"/>
        <v>415</v>
      </c>
      <c r="AA37" s="45">
        <f t="shared" ca="1" si="27"/>
        <v>441</v>
      </c>
      <c r="AB37" s="44">
        <f t="shared" ca="1" si="27"/>
        <v>221</v>
      </c>
      <c r="AC37" s="45">
        <f t="shared" ca="1" si="27"/>
        <v>211</v>
      </c>
      <c r="AD37" s="44">
        <f t="shared" ca="1" si="27"/>
        <v>1249</v>
      </c>
      <c r="AE37" s="45">
        <f t="shared" ca="1" si="27"/>
        <v>1538</v>
      </c>
      <c r="AF37" s="44">
        <f t="shared" ca="1" si="27"/>
        <v>360</v>
      </c>
      <c r="AG37" s="45">
        <f t="shared" ca="1" si="27"/>
        <v>372</v>
      </c>
      <c r="AH37" s="44">
        <f t="shared" ca="1" si="27"/>
        <v>51</v>
      </c>
      <c r="AI37" s="45">
        <f t="shared" ca="1" si="27"/>
        <v>123</v>
      </c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</row>
    <row r="38" spans="1:65" ht="12.75">
      <c r="A38" s="47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</row>
  </sheetData>
  <mergeCells count="20">
    <mergeCell ref="B1:C1"/>
    <mergeCell ref="D1:G1"/>
    <mergeCell ref="A2:A3"/>
    <mergeCell ref="B2:C2"/>
    <mergeCell ref="D2:E2"/>
    <mergeCell ref="F2:G2"/>
    <mergeCell ref="H2:I2"/>
    <mergeCell ref="X2:Y2"/>
    <mergeCell ref="Z2:AA2"/>
    <mergeCell ref="AB2:AC2"/>
    <mergeCell ref="AD2:AE2"/>
    <mergeCell ref="AF2:AG2"/>
    <mergeCell ref="AH2:AI2"/>
    <mergeCell ref="J2:K2"/>
    <mergeCell ref="L2:M2"/>
    <mergeCell ref="N2:O2"/>
    <mergeCell ref="P2:Q2"/>
    <mergeCell ref="R2:S2"/>
    <mergeCell ref="T2:U2"/>
    <mergeCell ref="V2:W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5"/>
  <sheetViews>
    <sheetView showGridLines="0" workbookViewId="0"/>
  </sheetViews>
  <sheetFormatPr defaultColWidth="14.42578125" defaultRowHeight="15.75" customHeight="1"/>
  <cols>
    <col min="1" max="1" width="2.28515625" customWidth="1"/>
    <col min="2" max="2" width="9.7109375" customWidth="1"/>
    <col min="3" max="5" width="10.85546875" customWidth="1"/>
    <col min="6" max="20" width="5.85546875" customWidth="1"/>
  </cols>
  <sheetData>
    <row r="1" spans="1:22" ht="51" customHeight="1">
      <c r="A1" s="60"/>
      <c r="B1" s="726" t="s">
        <v>54</v>
      </c>
      <c r="C1" s="635"/>
      <c r="D1" s="635"/>
      <c r="E1" s="635"/>
      <c r="F1" s="635"/>
      <c r="G1" s="635"/>
      <c r="H1" s="635"/>
      <c r="I1" s="635"/>
      <c r="J1" s="635"/>
      <c r="K1" s="727" t="s">
        <v>55</v>
      </c>
      <c r="L1" s="635"/>
      <c r="M1" s="687">
        <v>44463</v>
      </c>
      <c r="N1" s="635"/>
      <c r="O1" s="635"/>
      <c r="P1" s="728" t="s">
        <v>16</v>
      </c>
      <c r="Q1" s="635"/>
      <c r="R1" s="687">
        <f>M1-1</f>
        <v>44462</v>
      </c>
      <c r="S1" s="635"/>
      <c r="T1" s="635"/>
      <c r="V1" s="61"/>
    </row>
    <row r="2" spans="1:22" ht="22.5" customHeight="1">
      <c r="A2" s="60"/>
      <c r="B2" s="91" t="s">
        <v>56</v>
      </c>
      <c r="C2" s="92" t="s">
        <v>19</v>
      </c>
      <c r="D2" s="92" t="s">
        <v>57</v>
      </c>
      <c r="E2" s="92" t="s">
        <v>58</v>
      </c>
    </row>
    <row r="3" spans="1:22" ht="22.5" customHeight="1">
      <c r="A3" s="60"/>
      <c r="B3" s="93" t="s">
        <v>11</v>
      </c>
      <c r="C3" s="93">
        <v>11</v>
      </c>
      <c r="D3" s="93">
        <v>2</v>
      </c>
      <c r="E3" s="93">
        <v>25</v>
      </c>
    </row>
    <row r="4" spans="1:22" ht="22.5" customHeight="1">
      <c r="A4" s="60"/>
      <c r="B4" s="94" t="s">
        <v>9</v>
      </c>
      <c r="C4" s="94">
        <v>118</v>
      </c>
      <c r="D4" s="94">
        <v>0</v>
      </c>
      <c r="E4" s="95">
        <v>45</v>
      </c>
    </row>
    <row r="5" spans="1:22" ht="22.5" customHeight="1">
      <c r="A5" s="60"/>
      <c r="B5" s="93" t="s">
        <v>4</v>
      </c>
      <c r="C5" s="93">
        <v>72</v>
      </c>
      <c r="D5" s="93">
        <v>3</v>
      </c>
      <c r="E5" s="96">
        <v>24</v>
      </c>
    </row>
    <row r="6" spans="1:22" ht="22.5" customHeight="1">
      <c r="A6" s="60"/>
      <c r="B6" s="93" t="s">
        <v>2</v>
      </c>
      <c r="C6" s="93">
        <v>143</v>
      </c>
      <c r="D6" s="93">
        <v>1</v>
      </c>
      <c r="E6" s="96">
        <v>23</v>
      </c>
    </row>
    <row r="7" spans="1:22" ht="22.5" customHeight="1">
      <c r="A7" s="60"/>
      <c r="B7" s="93" t="s">
        <v>0</v>
      </c>
      <c r="C7" s="97">
        <v>298</v>
      </c>
      <c r="D7" s="93">
        <v>1</v>
      </c>
      <c r="E7" s="96">
        <v>26</v>
      </c>
    </row>
    <row r="8" spans="1:22" ht="22.5" customHeight="1">
      <c r="A8" s="60"/>
      <c r="B8" s="93" t="s">
        <v>14</v>
      </c>
      <c r="C8" s="97">
        <v>47</v>
      </c>
      <c r="D8" s="93">
        <v>0</v>
      </c>
      <c r="E8" s="96">
        <v>8</v>
      </c>
    </row>
    <row r="9" spans="1:22" ht="22.5" customHeight="1">
      <c r="A9" s="60"/>
      <c r="B9" s="93" t="s">
        <v>15</v>
      </c>
      <c r="C9" s="97">
        <v>0</v>
      </c>
      <c r="D9" s="93">
        <v>0</v>
      </c>
      <c r="E9" s="96">
        <v>0</v>
      </c>
    </row>
    <row r="10" spans="1:22" ht="22.5" customHeight="1">
      <c r="A10" s="1"/>
      <c r="B10" s="93" t="s">
        <v>1</v>
      </c>
      <c r="C10" s="97">
        <v>70</v>
      </c>
      <c r="D10" s="93">
        <v>0</v>
      </c>
      <c r="E10" s="96">
        <v>14</v>
      </c>
    </row>
    <row r="11" spans="1:22" ht="22.5" customHeight="1">
      <c r="A11" s="1"/>
      <c r="B11" s="93" t="s">
        <v>3</v>
      </c>
      <c r="C11" s="97">
        <v>86</v>
      </c>
      <c r="D11" s="93">
        <v>0</v>
      </c>
      <c r="E11" s="96">
        <v>26</v>
      </c>
    </row>
    <row r="12" spans="1:22" ht="22.5" customHeight="1">
      <c r="A12" s="1"/>
      <c r="B12" s="93" t="s">
        <v>8</v>
      </c>
      <c r="C12" s="97">
        <v>69</v>
      </c>
      <c r="D12" s="96">
        <v>1</v>
      </c>
      <c r="E12" s="96">
        <v>21</v>
      </c>
    </row>
    <row r="13" spans="1:22" ht="22.5" customHeight="1">
      <c r="A13" s="1"/>
      <c r="B13" s="98" t="s">
        <v>5</v>
      </c>
      <c r="C13" s="97">
        <v>9</v>
      </c>
      <c r="D13" s="96">
        <v>1</v>
      </c>
      <c r="E13" s="96">
        <v>61</v>
      </c>
    </row>
    <row r="14" spans="1:22" ht="22.5" customHeight="1">
      <c r="A14" s="1"/>
      <c r="B14" s="93" t="s">
        <v>6</v>
      </c>
      <c r="C14" s="97">
        <v>0</v>
      </c>
      <c r="D14" s="96">
        <v>9</v>
      </c>
      <c r="E14" s="96">
        <v>18</v>
      </c>
    </row>
    <row r="15" spans="1:22" ht="22.5" customHeight="1">
      <c r="A15" s="1"/>
      <c r="B15" s="98" t="s">
        <v>12</v>
      </c>
      <c r="C15" s="97">
        <v>2</v>
      </c>
      <c r="D15" s="96">
        <v>0</v>
      </c>
      <c r="E15" s="96">
        <v>1</v>
      </c>
    </row>
    <row r="16" spans="1:22" ht="22.5" customHeight="1">
      <c r="A16" s="1"/>
      <c r="B16" s="98" t="s">
        <v>7</v>
      </c>
      <c r="C16" s="97">
        <v>13</v>
      </c>
      <c r="D16" s="96">
        <v>0</v>
      </c>
      <c r="E16" s="96">
        <v>6</v>
      </c>
    </row>
    <row r="17" spans="1:5" ht="22.5" customHeight="1">
      <c r="A17" s="1"/>
      <c r="B17" s="98" t="s">
        <v>10</v>
      </c>
      <c r="C17" s="97">
        <v>5</v>
      </c>
      <c r="D17" s="96">
        <v>0</v>
      </c>
      <c r="E17" s="96">
        <v>12</v>
      </c>
    </row>
    <row r="18" spans="1:5" ht="22.5" customHeight="1">
      <c r="A18" s="1"/>
      <c r="B18" s="98" t="s">
        <v>13</v>
      </c>
      <c r="C18" s="97">
        <v>5</v>
      </c>
      <c r="D18" s="99">
        <v>0</v>
      </c>
      <c r="E18" s="97">
        <v>1</v>
      </c>
    </row>
    <row r="19" spans="1:5" ht="12.75">
      <c r="A19" s="1"/>
    </row>
    <row r="20" spans="1:5" ht="14.25">
      <c r="A20" s="62"/>
    </row>
    <row r="21" spans="1:5" ht="12.75">
      <c r="A21" s="1"/>
    </row>
    <row r="22" spans="1:5" ht="14.25">
      <c r="A22" s="62"/>
    </row>
    <row r="23" spans="1:5" ht="14.25">
      <c r="A23" s="62"/>
    </row>
    <row r="24" spans="1:5" ht="14.25">
      <c r="A24" s="62"/>
    </row>
    <row r="25" spans="1:5" ht="14.25">
      <c r="A25" s="62"/>
    </row>
  </sheetData>
  <mergeCells count="5">
    <mergeCell ref="B1:J1"/>
    <mergeCell ref="K1:L1"/>
    <mergeCell ref="M1:O1"/>
    <mergeCell ref="P1:Q1"/>
    <mergeCell ref="R1:T1"/>
  </mergeCells>
  <dataValidations count="1">
    <dataValidation type="list" allowBlank="1" sqref="M1">
      <formula1>"9/23/2021,9/24/2021,9/25/2021,9/26/2021,9/27/2021,9/28/2021,9/29/2021,9/30/2021"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5"/>
  <sheetViews>
    <sheetView showGridLines="0" workbookViewId="0"/>
  </sheetViews>
  <sheetFormatPr defaultColWidth="14.42578125" defaultRowHeight="15.75" customHeight="1"/>
  <cols>
    <col min="1" max="1" width="2.28515625" customWidth="1"/>
    <col min="2" max="2" width="9.7109375" customWidth="1"/>
    <col min="3" max="5" width="10.85546875" customWidth="1"/>
    <col min="6" max="20" width="5.85546875" customWidth="1"/>
  </cols>
  <sheetData>
    <row r="1" spans="1:22" ht="51" customHeight="1">
      <c r="A1" s="60"/>
      <c r="B1" s="726" t="s">
        <v>54</v>
      </c>
      <c r="C1" s="635"/>
      <c r="D1" s="635"/>
      <c r="E1" s="635"/>
      <c r="F1" s="635"/>
      <c r="G1" s="635"/>
      <c r="H1" s="635"/>
      <c r="I1" s="635"/>
      <c r="J1" s="635"/>
      <c r="K1" s="727" t="s">
        <v>55</v>
      </c>
      <c r="L1" s="635"/>
      <c r="M1" s="687">
        <v>44464</v>
      </c>
      <c r="N1" s="635"/>
      <c r="O1" s="635"/>
      <c r="P1" s="728" t="s">
        <v>16</v>
      </c>
      <c r="Q1" s="635"/>
      <c r="R1" s="687">
        <f>M1-1</f>
        <v>44463</v>
      </c>
      <c r="S1" s="635"/>
      <c r="T1" s="635"/>
      <c r="V1" s="61"/>
    </row>
    <row r="2" spans="1:22" ht="22.5" customHeight="1">
      <c r="A2" s="60"/>
      <c r="B2" s="91" t="s">
        <v>56</v>
      </c>
      <c r="C2" s="92" t="s">
        <v>19</v>
      </c>
      <c r="D2" s="92" t="s">
        <v>57</v>
      </c>
      <c r="E2" s="92" t="s">
        <v>58</v>
      </c>
    </row>
    <row r="3" spans="1:22" ht="22.5" customHeight="1">
      <c r="A3" s="60"/>
      <c r="B3" s="93" t="s">
        <v>11</v>
      </c>
      <c r="C3" s="93">
        <v>54</v>
      </c>
      <c r="D3" s="93">
        <v>2</v>
      </c>
      <c r="E3" s="93">
        <v>33</v>
      </c>
    </row>
    <row r="4" spans="1:22" ht="22.5" customHeight="1">
      <c r="A4" s="60"/>
      <c r="B4" s="94" t="s">
        <v>9</v>
      </c>
      <c r="C4" s="94">
        <v>143</v>
      </c>
      <c r="D4" s="94">
        <v>0</v>
      </c>
      <c r="E4" s="95">
        <v>82</v>
      </c>
    </row>
    <row r="5" spans="1:22" ht="22.5" customHeight="1">
      <c r="A5" s="60"/>
      <c r="B5" s="93" t="s">
        <v>4</v>
      </c>
      <c r="C5" s="93">
        <v>133</v>
      </c>
      <c r="D5" s="93">
        <v>5</v>
      </c>
      <c r="E5" s="96">
        <v>61</v>
      </c>
    </row>
    <row r="6" spans="1:22" ht="22.5" customHeight="1">
      <c r="A6" s="60"/>
      <c r="B6" s="93" t="s">
        <v>2</v>
      </c>
      <c r="C6" s="93">
        <v>186</v>
      </c>
      <c r="D6" s="93">
        <v>5</v>
      </c>
      <c r="E6" s="96">
        <v>38</v>
      </c>
    </row>
    <row r="7" spans="1:22" ht="22.5" customHeight="1">
      <c r="A7" s="60"/>
      <c r="B7" s="93" t="s">
        <v>0</v>
      </c>
      <c r="C7" s="97">
        <v>581</v>
      </c>
      <c r="D7" s="93">
        <v>3</v>
      </c>
      <c r="E7" s="96">
        <v>56</v>
      </c>
    </row>
    <row r="8" spans="1:22" ht="22.5" customHeight="1">
      <c r="A8" s="60"/>
      <c r="B8" s="93" t="s">
        <v>14</v>
      </c>
      <c r="C8" s="97">
        <v>74</v>
      </c>
      <c r="D8" s="93">
        <v>0</v>
      </c>
      <c r="E8" s="96">
        <v>10</v>
      </c>
    </row>
    <row r="9" spans="1:22" ht="22.5" customHeight="1">
      <c r="A9" s="60"/>
      <c r="B9" s="93" t="s">
        <v>15</v>
      </c>
      <c r="C9" s="97">
        <v>81</v>
      </c>
      <c r="D9" s="93">
        <v>0</v>
      </c>
      <c r="E9" s="96">
        <v>19</v>
      </c>
    </row>
    <row r="10" spans="1:22" ht="22.5" customHeight="1">
      <c r="A10" s="1"/>
      <c r="B10" s="93" t="s">
        <v>1</v>
      </c>
      <c r="C10" s="97">
        <v>154</v>
      </c>
      <c r="D10" s="93">
        <v>0</v>
      </c>
      <c r="E10" s="96">
        <v>61</v>
      </c>
    </row>
    <row r="11" spans="1:22" ht="22.5" customHeight="1">
      <c r="A11" s="1"/>
      <c r="B11" s="93" t="s">
        <v>3</v>
      </c>
      <c r="C11" s="97">
        <v>118</v>
      </c>
      <c r="D11" s="93">
        <v>4</v>
      </c>
      <c r="E11" s="96">
        <v>40</v>
      </c>
    </row>
    <row r="12" spans="1:22" ht="22.5" customHeight="1">
      <c r="A12" s="1"/>
      <c r="B12" s="93" t="s">
        <v>8</v>
      </c>
      <c r="C12" s="97">
        <v>95</v>
      </c>
      <c r="D12" s="96">
        <v>13</v>
      </c>
      <c r="E12" s="96">
        <v>46</v>
      </c>
    </row>
    <row r="13" spans="1:22" ht="22.5" customHeight="1">
      <c r="A13" s="1"/>
      <c r="B13" s="98" t="s">
        <v>5</v>
      </c>
      <c r="C13" s="97">
        <v>23</v>
      </c>
      <c r="D13" s="96">
        <v>2</v>
      </c>
      <c r="E13" s="96">
        <v>83</v>
      </c>
    </row>
    <row r="14" spans="1:22" ht="22.5" customHeight="1">
      <c r="A14" s="1"/>
      <c r="B14" s="93" t="s">
        <v>6</v>
      </c>
      <c r="C14" s="97">
        <v>5</v>
      </c>
      <c r="D14" s="96">
        <v>3</v>
      </c>
      <c r="E14" s="96">
        <v>33</v>
      </c>
    </row>
    <row r="15" spans="1:22" ht="22.5" customHeight="1">
      <c r="A15" s="1"/>
      <c r="B15" s="98" t="s">
        <v>12</v>
      </c>
      <c r="C15" s="97">
        <v>1</v>
      </c>
      <c r="D15" s="96">
        <v>0</v>
      </c>
      <c r="E15" s="96">
        <v>9</v>
      </c>
    </row>
    <row r="16" spans="1:22" ht="22.5" customHeight="1">
      <c r="A16" s="1"/>
      <c r="B16" s="98" t="s">
        <v>7</v>
      </c>
      <c r="C16" s="97">
        <v>42</v>
      </c>
      <c r="D16" s="96">
        <v>0</v>
      </c>
      <c r="E16" s="96">
        <v>16</v>
      </c>
    </row>
    <row r="17" spans="1:5" ht="22.5" customHeight="1">
      <c r="A17" s="1"/>
      <c r="B17" s="98" t="s">
        <v>10</v>
      </c>
      <c r="C17" s="97">
        <v>14</v>
      </c>
      <c r="D17" s="96">
        <v>0</v>
      </c>
      <c r="E17" s="96">
        <v>14</v>
      </c>
    </row>
    <row r="18" spans="1:5" ht="22.5" customHeight="1">
      <c r="A18" s="1"/>
      <c r="B18" s="98" t="s">
        <v>13</v>
      </c>
      <c r="C18" s="97">
        <v>3</v>
      </c>
      <c r="D18" s="99">
        <v>0</v>
      </c>
      <c r="E18" s="97">
        <v>1</v>
      </c>
    </row>
    <row r="19" spans="1:5" ht="12.75">
      <c r="A19" s="1"/>
    </row>
    <row r="20" spans="1:5" ht="14.25">
      <c r="A20" s="62"/>
    </row>
    <row r="21" spans="1:5" ht="12.75">
      <c r="A21" s="1"/>
    </row>
    <row r="22" spans="1:5" ht="14.25">
      <c r="A22" s="62"/>
    </row>
    <row r="23" spans="1:5" ht="14.25">
      <c r="A23" s="62"/>
    </row>
    <row r="24" spans="1:5" ht="14.25">
      <c r="A24" s="62"/>
    </row>
    <row r="25" spans="1:5" ht="14.25">
      <c r="A25" s="62"/>
    </row>
  </sheetData>
  <mergeCells count="5">
    <mergeCell ref="B1:J1"/>
    <mergeCell ref="K1:L1"/>
    <mergeCell ref="M1:O1"/>
    <mergeCell ref="P1:Q1"/>
    <mergeCell ref="R1:T1"/>
  </mergeCells>
  <dataValidations count="1">
    <dataValidation type="list" allowBlank="1" sqref="M1">
      <formula1>"9/23/2021,9/24/2021,9/25/2021,9/26/2021,9/27/2021,9/28/2021,9/29/2021,9/30/2021"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5"/>
  <sheetViews>
    <sheetView showGridLines="0" workbookViewId="0"/>
  </sheetViews>
  <sheetFormatPr defaultColWidth="14.42578125" defaultRowHeight="15.75" customHeight="1"/>
  <cols>
    <col min="1" max="1" width="2.28515625" customWidth="1"/>
    <col min="2" max="2" width="9.7109375" customWidth="1"/>
    <col min="3" max="5" width="10.85546875" customWidth="1"/>
    <col min="6" max="20" width="5.85546875" customWidth="1"/>
  </cols>
  <sheetData>
    <row r="1" spans="1:22" ht="51" customHeight="1">
      <c r="A1" s="60"/>
      <c r="B1" s="726" t="s">
        <v>54</v>
      </c>
      <c r="C1" s="635"/>
      <c r="D1" s="635"/>
      <c r="E1" s="635"/>
      <c r="F1" s="635"/>
      <c r="G1" s="635"/>
      <c r="H1" s="635"/>
      <c r="I1" s="635"/>
      <c r="J1" s="635"/>
      <c r="K1" s="727" t="s">
        <v>55</v>
      </c>
      <c r="L1" s="635"/>
      <c r="M1" s="687">
        <v>44465</v>
      </c>
      <c r="N1" s="635"/>
      <c r="O1" s="635"/>
      <c r="P1" s="728" t="s">
        <v>16</v>
      </c>
      <c r="Q1" s="635"/>
      <c r="R1" s="687">
        <f>M1-1</f>
        <v>44464</v>
      </c>
      <c r="S1" s="635"/>
      <c r="T1" s="635"/>
      <c r="V1" s="61"/>
    </row>
    <row r="2" spans="1:22" ht="22.5" customHeight="1">
      <c r="A2" s="60"/>
      <c r="B2" s="91" t="s">
        <v>56</v>
      </c>
      <c r="C2" s="92" t="s">
        <v>19</v>
      </c>
      <c r="D2" s="92" t="s">
        <v>57</v>
      </c>
      <c r="E2" s="92" t="s">
        <v>58</v>
      </c>
    </row>
    <row r="3" spans="1:22" ht="22.5" customHeight="1">
      <c r="A3" s="60"/>
      <c r="B3" s="93" t="s">
        <v>11</v>
      </c>
      <c r="C3" s="93">
        <v>77</v>
      </c>
      <c r="D3" s="93">
        <v>0</v>
      </c>
      <c r="E3" s="93">
        <v>30</v>
      </c>
    </row>
    <row r="4" spans="1:22" ht="22.5" customHeight="1">
      <c r="A4" s="60"/>
      <c r="B4" s="94" t="s">
        <v>9</v>
      </c>
      <c r="C4" s="94">
        <v>70</v>
      </c>
      <c r="D4" s="94">
        <v>0</v>
      </c>
      <c r="E4" s="95">
        <v>66</v>
      </c>
    </row>
    <row r="5" spans="1:22" ht="22.5" customHeight="1">
      <c r="A5" s="60"/>
      <c r="B5" s="93" t="s">
        <v>4</v>
      </c>
      <c r="C5" s="93">
        <v>138</v>
      </c>
      <c r="D5" s="93">
        <v>2</v>
      </c>
      <c r="E5" s="96">
        <v>54</v>
      </c>
    </row>
    <row r="6" spans="1:22" ht="22.5" customHeight="1">
      <c r="A6" s="60"/>
      <c r="B6" s="93" t="s">
        <v>2</v>
      </c>
      <c r="C6" s="93">
        <v>174</v>
      </c>
      <c r="D6" s="93">
        <v>1</v>
      </c>
      <c r="E6" s="96">
        <v>30</v>
      </c>
    </row>
    <row r="7" spans="1:22" ht="22.5" customHeight="1">
      <c r="A7" s="60"/>
      <c r="B7" s="93" t="s">
        <v>0</v>
      </c>
      <c r="C7" s="97">
        <v>605</v>
      </c>
      <c r="D7" s="93">
        <v>10</v>
      </c>
      <c r="E7" s="96">
        <v>82</v>
      </c>
    </row>
    <row r="8" spans="1:22" ht="22.5" customHeight="1">
      <c r="A8" s="60"/>
      <c r="B8" s="93" t="s">
        <v>14</v>
      </c>
      <c r="C8" s="97">
        <v>71</v>
      </c>
      <c r="D8" s="93">
        <v>2</v>
      </c>
      <c r="E8" s="96">
        <v>31</v>
      </c>
    </row>
    <row r="9" spans="1:22" ht="22.5" customHeight="1">
      <c r="A9" s="60"/>
      <c r="B9" s="93" t="s">
        <v>15</v>
      </c>
      <c r="C9" s="97">
        <v>46</v>
      </c>
      <c r="D9" s="93">
        <v>1</v>
      </c>
      <c r="E9" s="96">
        <v>26</v>
      </c>
    </row>
    <row r="10" spans="1:22" ht="22.5" customHeight="1">
      <c r="A10" s="1"/>
      <c r="B10" s="93" t="s">
        <v>1</v>
      </c>
      <c r="C10" s="97">
        <v>141</v>
      </c>
      <c r="D10" s="93">
        <v>3</v>
      </c>
      <c r="E10" s="96">
        <v>32</v>
      </c>
    </row>
    <row r="11" spans="1:22" ht="22.5" customHeight="1">
      <c r="A11" s="1"/>
      <c r="B11" s="93" t="s">
        <v>3</v>
      </c>
      <c r="C11" s="97">
        <v>109</v>
      </c>
      <c r="D11" s="93">
        <v>2</v>
      </c>
      <c r="E11" s="96">
        <v>47</v>
      </c>
    </row>
    <row r="12" spans="1:22" ht="22.5" customHeight="1">
      <c r="A12" s="1"/>
      <c r="B12" s="93" t="s">
        <v>8</v>
      </c>
      <c r="C12" s="97">
        <v>76</v>
      </c>
      <c r="D12" s="96">
        <v>0</v>
      </c>
      <c r="E12" s="96">
        <v>34</v>
      </c>
    </row>
    <row r="13" spans="1:22" ht="22.5" customHeight="1">
      <c r="A13" s="1"/>
      <c r="B13" s="98" t="s">
        <v>5</v>
      </c>
      <c r="C13" s="97">
        <v>42</v>
      </c>
      <c r="D13" s="96">
        <v>6</v>
      </c>
      <c r="E13" s="96">
        <v>103</v>
      </c>
    </row>
    <row r="14" spans="1:22" ht="22.5" customHeight="1">
      <c r="A14" s="1"/>
      <c r="B14" s="93" t="s">
        <v>6</v>
      </c>
      <c r="C14" s="97">
        <v>5</v>
      </c>
      <c r="D14" s="96">
        <v>7</v>
      </c>
      <c r="E14" s="96">
        <v>44</v>
      </c>
    </row>
    <row r="15" spans="1:22" ht="22.5" customHeight="1">
      <c r="A15" s="1"/>
      <c r="B15" s="98" t="s">
        <v>12</v>
      </c>
      <c r="C15" s="97">
        <v>6</v>
      </c>
      <c r="D15" s="96">
        <v>0</v>
      </c>
      <c r="E15" s="96">
        <v>23</v>
      </c>
    </row>
    <row r="16" spans="1:22" ht="22.5" customHeight="1">
      <c r="A16" s="1"/>
      <c r="B16" s="98" t="s">
        <v>7</v>
      </c>
      <c r="C16" s="97">
        <v>147</v>
      </c>
      <c r="D16" s="96">
        <v>2</v>
      </c>
      <c r="E16" s="96">
        <v>17</v>
      </c>
    </row>
    <row r="17" spans="1:5" ht="22.5" customHeight="1">
      <c r="A17" s="1"/>
      <c r="B17" s="98" t="s">
        <v>10</v>
      </c>
      <c r="C17" s="97">
        <v>23</v>
      </c>
      <c r="D17" s="96">
        <v>0</v>
      </c>
      <c r="E17" s="96">
        <v>7</v>
      </c>
    </row>
    <row r="18" spans="1:5" ht="22.5" customHeight="1">
      <c r="A18" s="1"/>
      <c r="B18" s="98" t="s">
        <v>13</v>
      </c>
      <c r="C18" s="97">
        <v>1</v>
      </c>
      <c r="D18" s="99">
        <v>0</v>
      </c>
      <c r="E18" s="97">
        <v>1</v>
      </c>
    </row>
    <row r="19" spans="1:5" ht="12.75">
      <c r="A19" s="1"/>
    </row>
    <row r="20" spans="1:5" ht="14.25">
      <c r="A20" s="62"/>
    </row>
    <row r="21" spans="1:5" ht="12.75">
      <c r="A21" s="1"/>
    </row>
    <row r="22" spans="1:5" ht="14.25">
      <c r="A22" s="62"/>
    </row>
    <row r="23" spans="1:5" ht="14.25">
      <c r="A23" s="62"/>
    </row>
    <row r="24" spans="1:5" ht="14.25">
      <c r="A24" s="62"/>
    </row>
    <row r="25" spans="1:5" ht="14.25">
      <c r="A25" s="62"/>
    </row>
  </sheetData>
  <mergeCells count="5">
    <mergeCell ref="B1:J1"/>
    <mergeCell ref="K1:L1"/>
    <mergeCell ref="M1:O1"/>
    <mergeCell ref="P1:Q1"/>
    <mergeCell ref="R1:T1"/>
  </mergeCells>
  <dataValidations count="1">
    <dataValidation type="list" allowBlank="1" sqref="M1">
      <formula1>"9/23/2021,9/24/2021,9/25/2021,9/26/2021,9/27/2021,9/28/2021,9/29/2021,9/30/2021"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5"/>
  <sheetViews>
    <sheetView showGridLines="0" workbookViewId="0"/>
  </sheetViews>
  <sheetFormatPr defaultColWidth="14.42578125" defaultRowHeight="15.75" customHeight="1"/>
  <cols>
    <col min="1" max="1" width="2.28515625" customWidth="1"/>
    <col min="2" max="2" width="9.7109375" customWidth="1"/>
    <col min="3" max="5" width="10.85546875" customWidth="1"/>
    <col min="6" max="20" width="5.85546875" customWidth="1"/>
  </cols>
  <sheetData>
    <row r="1" spans="1:22" ht="51" customHeight="1">
      <c r="A1" s="60"/>
      <c r="B1" s="726" t="s">
        <v>54</v>
      </c>
      <c r="C1" s="635"/>
      <c r="D1" s="635"/>
      <c r="E1" s="635"/>
      <c r="F1" s="635"/>
      <c r="G1" s="635"/>
      <c r="H1" s="635"/>
      <c r="I1" s="635"/>
      <c r="J1" s="635"/>
      <c r="K1" s="727" t="s">
        <v>55</v>
      </c>
      <c r="L1" s="635"/>
      <c r="M1" s="687">
        <v>44466</v>
      </c>
      <c r="N1" s="635"/>
      <c r="O1" s="635"/>
      <c r="P1" s="728" t="s">
        <v>16</v>
      </c>
      <c r="Q1" s="635"/>
      <c r="R1" s="687">
        <f>M1-1</f>
        <v>44465</v>
      </c>
      <c r="S1" s="635"/>
      <c r="T1" s="635"/>
      <c r="V1" s="61"/>
    </row>
    <row r="2" spans="1:22" ht="22.5" customHeight="1">
      <c r="A2" s="60"/>
      <c r="B2" s="91" t="s">
        <v>56</v>
      </c>
      <c r="C2" s="92" t="s">
        <v>19</v>
      </c>
      <c r="D2" s="92" t="s">
        <v>57</v>
      </c>
      <c r="E2" s="92" t="s">
        <v>58</v>
      </c>
    </row>
    <row r="3" spans="1:22" ht="22.5" customHeight="1">
      <c r="A3" s="60"/>
      <c r="B3" s="93" t="s">
        <v>11</v>
      </c>
      <c r="C3" s="93">
        <v>56</v>
      </c>
      <c r="D3" s="93">
        <v>1</v>
      </c>
      <c r="E3" s="93">
        <v>50</v>
      </c>
    </row>
    <row r="4" spans="1:22" ht="22.5" customHeight="1">
      <c r="A4" s="60"/>
      <c r="B4" s="94" t="s">
        <v>9</v>
      </c>
      <c r="C4" s="94">
        <v>132</v>
      </c>
      <c r="D4" s="94">
        <v>2</v>
      </c>
      <c r="E4" s="95">
        <v>68</v>
      </c>
    </row>
    <row r="5" spans="1:22" ht="22.5" customHeight="1">
      <c r="A5" s="60"/>
      <c r="B5" s="93" t="s">
        <v>4</v>
      </c>
      <c r="C5" s="93">
        <v>133</v>
      </c>
      <c r="D5" s="93">
        <v>0</v>
      </c>
      <c r="E5" s="96">
        <v>66</v>
      </c>
    </row>
    <row r="6" spans="1:22" ht="22.5" customHeight="1">
      <c r="A6" s="60"/>
      <c r="B6" s="93" t="s">
        <v>2</v>
      </c>
      <c r="C6" s="93">
        <v>174</v>
      </c>
      <c r="D6" s="93">
        <v>2</v>
      </c>
      <c r="E6" s="96">
        <v>26</v>
      </c>
    </row>
    <row r="7" spans="1:22" ht="22.5" customHeight="1">
      <c r="A7" s="60"/>
      <c r="B7" s="93" t="s">
        <v>0</v>
      </c>
      <c r="C7" s="97">
        <v>679</v>
      </c>
      <c r="D7" s="93">
        <v>2</v>
      </c>
      <c r="E7" s="96">
        <v>71</v>
      </c>
    </row>
    <row r="8" spans="1:22" ht="22.5" customHeight="1">
      <c r="A8" s="60"/>
      <c r="B8" s="93" t="s">
        <v>14</v>
      </c>
      <c r="C8" s="97">
        <v>43</v>
      </c>
      <c r="D8" s="93">
        <v>3</v>
      </c>
      <c r="E8" s="96">
        <v>39</v>
      </c>
    </row>
    <row r="9" spans="1:22" ht="22.5" customHeight="1">
      <c r="A9" s="60"/>
      <c r="B9" s="93" t="s">
        <v>15</v>
      </c>
      <c r="C9" s="97">
        <v>52</v>
      </c>
      <c r="D9" s="93">
        <v>0</v>
      </c>
      <c r="E9" s="96">
        <v>16</v>
      </c>
    </row>
    <row r="10" spans="1:22" ht="22.5" customHeight="1">
      <c r="A10" s="1"/>
      <c r="B10" s="93" t="s">
        <v>1</v>
      </c>
      <c r="C10" s="97">
        <v>112</v>
      </c>
      <c r="D10" s="93">
        <v>1</v>
      </c>
      <c r="E10" s="96">
        <v>41</v>
      </c>
    </row>
    <row r="11" spans="1:22" ht="22.5" customHeight="1">
      <c r="A11" s="1"/>
      <c r="B11" s="93" t="s">
        <v>3</v>
      </c>
      <c r="C11" s="97">
        <v>72</v>
      </c>
      <c r="D11" s="93">
        <v>3</v>
      </c>
      <c r="E11" s="96">
        <v>26</v>
      </c>
    </row>
    <row r="12" spans="1:22" ht="22.5" customHeight="1">
      <c r="A12" s="1"/>
      <c r="B12" s="93" t="s">
        <v>8</v>
      </c>
      <c r="C12" s="97">
        <v>62</v>
      </c>
      <c r="D12" s="96">
        <v>0</v>
      </c>
      <c r="E12" s="96">
        <v>24</v>
      </c>
    </row>
    <row r="13" spans="1:22" ht="22.5" customHeight="1">
      <c r="A13" s="1"/>
      <c r="B13" s="98" t="s">
        <v>5</v>
      </c>
      <c r="C13" s="97">
        <v>37</v>
      </c>
      <c r="D13" s="96">
        <v>3</v>
      </c>
      <c r="E13" s="96">
        <v>93</v>
      </c>
    </row>
    <row r="14" spans="1:22" ht="22.5" customHeight="1">
      <c r="A14" s="1"/>
      <c r="B14" s="93" t="s">
        <v>6</v>
      </c>
      <c r="C14" s="97">
        <v>27</v>
      </c>
      <c r="D14" s="96">
        <v>13</v>
      </c>
      <c r="E14" s="96">
        <v>27</v>
      </c>
    </row>
    <row r="15" spans="1:22" ht="22.5" customHeight="1">
      <c r="A15" s="1"/>
      <c r="B15" s="98" t="s">
        <v>12</v>
      </c>
      <c r="C15" s="97">
        <v>3</v>
      </c>
      <c r="D15" s="96">
        <v>3</v>
      </c>
      <c r="E15" s="96">
        <v>30</v>
      </c>
    </row>
    <row r="16" spans="1:22" ht="22.5" customHeight="1">
      <c r="A16" s="1"/>
      <c r="B16" s="98" t="s">
        <v>7</v>
      </c>
      <c r="C16" s="97">
        <v>143</v>
      </c>
      <c r="D16" s="96">
        <v>2</v>
      </c>
      <c r="E16" s="96">
        <v>33</v>
      </c>
    </row>
    <row r="17" spans="1:5" ht="22.5" customHeight="1">
      <c r="A17" s="1"/>
      <c r="B17" s="98" t="s">
        <v>10</v>
      </c>
      <c r="C17" s="97">
        <v>29</v>
      </c>
      <c r="D17" s="96">
        <v>0</v>
      </c>
      <c r="E17" s="96">
        <v>18</v>
      </c>
    </row>
    <row r="18" spans="1:5" ht="22.5" customHeight="1">
      <c r="A18" s="1"/>
      <c r="B18" s="98" t="s">
        <v>13</v>
      </c>
      <c r="C18" s="97">
        <v>3</v>
      </c>
      <c r="D18" s="99">
        <v>0</v>
      </c>
      <c r="E18" s="97">
        <v>0</v>
      </c>
    </row>
    <row r="19" spans="1:5" ht="12.75">
      <c r="A19" s="1"/>
    </row>
    <row r="20" spans="1:5" ht="14.25">
      <c r="A20" s="62"/>
    </row>
    <row r="21" spans="1:5" ht="12.75">
      <c r="A21" s="1"/>
    </row>
    <row r="22" spans="1:5" ht="14.25">
      <c r="A22" s="62"/>
    </row>
    <row r="23" spans="1:5" ht="14.25">
      <c r="A23" s="62"/>
    </row>
    <row r="24" spans="1:5" ht="14.25">
      <c r="A24" s="62"/>
    </row>
    <row r="25" spans="1:5" ht="14.25">
      <c r="A25" s="62"/>
    </row>
  </sheetData>
  <mergeCells count="5">
    <mergeCell ref="B1:J1"/>
    <mergeCell ref="K1:L1"/>
    <mergeCell ref="M1:O1"/>
    <mergeCell ref="P1:Q1"/>
    <mergeCell ref="R1:T1"/>
  </mergeCells>
  <dataValidations count="1">
    <dataValidation type="list" allowBlank="1" sqref="M1">
      <formula1>"9/23/2021,9/24/2021,9/25/2021,9/26/2021,9/27/2021,9/28/2021,9/29/2021,9/30/2021"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5"/>
  <sheetViews>
    <sheetView showGridLines="0" workbookViewId="0"/>
  </sheetViews>
  <sheetFormatPr defaultColWidth="14.42578125" defaultRowHeight="15.75" customHeight="1"/>
  <cols>
    <col min="1" max="1" width="2.28515625" customWidth="1"/>
    <col min="2" max="2" width="9.7109375" customWidth="1"/>
    <col min="3" max="5" width="10.85546875" customWidth="1"/>
    <col min="6" max="20" width="5.85546875" customWidth="1"/>
  </cols>
  <sheetData>
    <row r="1" spans="1:22" ht="51" customHeight="1">
      <c r="A1" s="60"/>
      <c r="B1" s="726" t="s">
        <v>54</v>
      </c>
      <c r="C1" s="635"/>
      <c r="D1" s="635"/>
      <c r="E1" s="635"/>
      <c r="F1" s="635"/>
      <c r="G1" s="635"/>
      <c r="H1" s="635"/>
      <c r="I1" s="635"/>
      <c r="J1" s="635"/>
      <c r="K1" s="727" t="s">
        <v>55</v>
      </c>
      <c r="L1" s="635"/>
      <c r="M1" s="687">
        <v>44467</v>
      </c>
      <c r="N1" s="635"/>
      <c r="O1" s="635"/>
      <c r="P1" s="728" t="s">
        <v>16</v>
      </c>
      <c r="Q1" s="635"/>
      <c r="R1" s="687">
        <f>M1-1</f>
        <v>44466</v>
      </c>
      <c r="S1" s="635"/>
      <c r="T1" s="635"/>
      <c r="V1" s="61"/>
    </row>
    <row r="2" spans="1:22" ht="22.5" customHeight="1">
      <c r="A2" s="60"/>
      <c r="B2" s="91" t="s">
        <v>56</v>
      </c>
      <c r="C2" s="92" t="s">
        <v>19</v>
      </c>
      <c r="D2" s="92" t="s">
        <v>57</v>
      </c>
      <c r="E2" s="92" t="s">
        <v>58</v>
      </c>
    </row>
    <row r="3" spans="1:22" ht="22.5" customHeight="1">
      <c r="A3" s="60"/>
      <c r="B3" s="93" t="s">
        <v>11</v>
      </c>
      <c r="C3" s="93">
        <v>75</v>
      </c>
      <c r="D3" s="93">
        <v>4</v>
      </c>
      <c r="E3" s="93">
        <v>63</v>
      </c>
    </row>
    <row r="4" spans="1:22" ht="22.5" customHeight="1">
      <c r="A4" s="60"/>
      <c r="B4" s="94" t="s">
        <v>9</v>
      </c>
      <c r="C4" s="94">
        <v>191</v>
      </c>
      <c r="D4" s="94">
        <v>21</v>
      </c>
      <c r="E4" s="95">
        <v>69</v>
      </c>
    </row>
    <row r="5" spans="1:22" ht="22.5" customHeight="1">
      <c r="A5" s="60"/>
      <c r="B5" s="93" t="s">
        <v>4</v>
      </c>
      <c r="C5" s="93">
        <v>222</v>
      </c>
      <c r="D5" s="93">
        <v>3</v>
      </c>
      <c r="E5" s="96">
        <v>100</v>
      </c>
    </row>
    <row r="6" spans="1:22" ht="22.5" customHeight="1">
      <c r="A6" s="60"/>
      <c r="B6" s="93" t="s">
        <v>2</v>
      </c>
      <c r="C6" s="93">
        <v>276</v>
      </c>
      <c r="D6" s="93">
        <v>1</v>
      </c>
      <c r="E6" s="96">
        <v>57</v>
      </c>
    </row>
    <row r="7" spans="1:22" ht="22.5" customHeight="1">
      <c r="A7" s="60"/>
      <c r="B7" s="93" t="s">
        <v>0</v>
      </c>
      <c r="C7" s="97">
        <v>683</v>
      </c>
      <c r="D7" s="93">
        <v>4</v>
      </c>
      <c r="E7" s="96">
        <v>95</v>
      </c>
    </row>
    <row r="8" spans="1:22" ht="22.5" customHeight="1">
      <c r="A8" s="60"/>
      <c r="B8" s="93" t="s">
        <v>14</v>
      </c>
      <c r="C8" s="97">
        <v>122</v>
      </c>
      <c r="D8" s="93">
        <v>9</v>
      </c>
      <c r="E8" s="96">
        <v>196</v>
      </c>
    </row>
    <row r="9" spans="1:22" ht="22.5" customHeight="1">
      <c r="A9" s="60"/>
      <c r="B9" s="93" t="s">
        <v>15</v>
      </c>
      <c r="C9" s="97">
        <v>162</v>
      </c>
      <c r="D9" s="93">
        <v>2</v>
      </c>
      <c r="E9" s="96">
        <v>96</v>
      </c>
    </row>
    <row r="10" spans="1:22" ht="22.5" customHeight="1">
      <c r="A10" s="1"/>
      <c r="B10" s="93" t="s">
        <v>1</v>
      </c>
      <c r="C10" s="97">
        <v>145</v>
      </c>
      <c r="D10" s="93">
        <v>4</v>
      </c>
      <c r="E10" s="96">
        <v>79</v>
      </c>
    </row>
    <row r="11" spans="1:22" ht="22.5" customHeight="1">
      <c r="A11" s="1"/>
      <c r="B11" s="93" t="s">
        <v>3</v>
      </c>
      <c r="C11" s="97">
        <v>82</v>
      </c>
      <c r="D11" s="93">
        <v>4</v>
      </c>
      <c r="E11" s="96">
        <v>30</v>
      </c>
    </row>
    <row r="12" spans="1:22" ht="22.5" customHeight="1">
      <c r="A12" s="1"/>
      <c r="B12" s="93" t="s">
        <v>8</v>
      </c>
      <c r="C12" s="97">
        <v>77</v>
      </c>
      <c r="D12" s="96">
        <v>0</v>
      </c>
      <c r="E12" s="96">
        <v>57</v>
      </c>
    </row>
    <row r="13" spans="1:22" ht="22.5" customHeight="1">
      <c r="A13" s="1"/>
      <c r="B13" s="98" t="s">
        <v>5</v>
      </c>
      <c r="C13" s="97">
        <v>48</v>
      </c>
      <c r="D13" s="96">
        <v>16</v>
      </c>
      <c r="E13" s="96">
        <v>167</v>
      </c>
    </row>
    <row r="14" spans="1:22" ht="22.5" customHeight="1">
      <c r="A14" s="1"/>
      <c r="B14" s="93" t="s">
        <v>6</v>
      </c>
      <c r="C14" s="97">
        <v>8</v>
      </c>
      <c r="D14" s="96">
        <v>14</v>
      </c>
      <c r="E14" s="96">
        <v>60</v>
      </c>
    </row>
    <row r="15" spans="1:22" ht="22.5" customHeight="1">
      <c r="A15" s="1"/>
      <c r="B15" s="98" t="s">
        <v>12</v>
      </c>
      <c r="C15" s="97">
        <v>2</v>
      </c>
      <c r="D15" s="96">
        <v>0</v>
      </c>
      <c r="E15" s="96">
        <v>32</v>
      </c>
    </row>
    <row r="16" spans="1:22" ht="22.5" customHeight="1">
      <c r="A16" s="1"/>
      <c r="B16" s="98" t="s">
        <v>7</v>
      </c>
      <c r="C16" s="97">
        <v>142</v>
      </c>
      <c r="D16" s="96">
        <v>0</v>
      </c>
      <c r="E16" s="96">
        <v>72</v>
      </c>
    </row>
    <row r="17" spans="1:5" ht="22.5" customHeight="1">
      <c r="A17" s="1"/>
      <c r="B17" s="98" t="s">
        <v>10</v>
      </c>
      <c r="C17" s="97">
        <v>11</v>
      </c>
      <c r="D17" s="96">
        <v>0</v>
      </c>
      <c r="E17" s="96">
        <v>50</v>
      </c>
    </row>
    <row r="18" spans="1:5" ht="22.5" customHeight="1">
      <c r="A18" s="1"/>
      <c r="B18" s="98" t="s">
        <v>13</v>
      </c>
      <c r="C18" s="97">
        <v>7</v>
      </c>
      <c r="D18" s="99">
        <v>0</v>
      </c>
      <c r="E18" s="97">
        <v>1</v>
      </c>
    </row>
    <row r="19" spans="1:5" ht="12.75">
      <c r="A19" s="1"/>
    </row>
    <row r="20" spans="1:5" ht="14.25">
      <c r="A20" s="62"/>
    </row>
    <row r="21" spans="1:5" ht="12.75">
      <c r="A21" s="1"/>
    </row>
    <row r="22" spans="1:5" ht="14.25">
      <c r="A22" s="62"/>
    </row>
    <row r="23" spans="1:5" ht="14.25">
      <c r="A23" s="62"/>
    </row>
    <row r="24" spans="1:5" ht="14.25">
      <c r="A24" s="62"/>
    </row>
    <row r="25" spans="1:5" ht="14.25">
      <c r="A25" s="62"/>
    </row>
  </sheetData>
  <mergeCells count="5">
    <mergeCell ref="B1:J1"/>
    <mergeCell ref="K1:L1"/>
    <mergeCell ref="M1:O1"/>
    <mergeCell ref="P1:Q1"/>
    <mergeCell ref="R1:T1"/>
  </mergeCells>
  <dataValidations count="1">
    <dataValidation type="list" allowBlank="1" sqref="M1">
      <formula1>"9/23/2021,9/24/2021,9/25/2021,9/26/2021,9/27/2021,9/28/2021,9/29/2021,9/30/2021"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/>
      <c r="C2" s="102" t="s">
        <v>72</v>
      </c>
      <c r="D2" s="103" t="str">
        <f ca="1">IFERROR(__xludf.DUMMYFUNCTION("QUERY('Form Responses 1'!A:BE,""select * where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11</v>
      </c>
      <c r="B3" s="105" t="s">
        <v>73</v>
      </c>
      <c r="C3" s="106" t="s">
        <v>73</v>
      </c>
      <c r="D3" s="107">
        <f ca="1">IFERROR(__xludf.DUMMYFUNCTION("""COMPUTED_VALUE"""),44463.725968449)</f>
        <v>44463.725968448998</v>
      </c>
      <c r="E3" s="103" t="str">
        <f ca="1">IFERROR(__xludf.DUMMYFUNCTION("""COMPUTED_VALUE"""),"metro@rtp.com")</f>
        <v>metro@rtp.com</v>
      </c>
      <c r="F3" s="108" t="str">
        <f ca="1">IFERROR(__xludf.DUMMYFUNCTION("""COMPUTED_VALUE"""),"rtp2021")</f>
        <v>rtp2021</v>
      </c>
      <c r="G3" s="103"/>
      <c r="H3" s="108" t="str">
        <f ca="1">IFERROR(__xludf.DUMMYFUNCTION("""COMPUTED_VALUE"""),"บช.น.")</f>
        <v>บช.น.</v>
      </c>
      <c r="I3" s="108">
        <f ca="1">IFERROR(__xludf.DUMMYFUNCTION("""COMPUTED_VALUE"""),0)</f>
        <v>0</v>
      </c>
      <c r="J3" s="108">
        <f ca="1">IFERROR(__xludf.DUMMYFUNCTION("""COMPUTED_VALUE"""),0)</f>
        <v>0</v>
      </c>
      <c r="K3" s="108">
        <f ca="1">IFERROR(__xludf.DUMMYFUNCTION("""COMPUTED_VALUE"""),0)</f>
        <v>0</v>
      </c>
      <c r="L3" s="108">
        <f ca="1">IFERROR(__xludf.DUMMYFUNCTION("""COMPUTED_VALUE"""),0)</f>
        <v>0</v>
      </c>
      <c r="M3" s="108">
        <f ca="1">IFERROR(__xludf.DUMMYFUNCTION("""COMPUTED_VALUE"""),1)</f>
        <v>1</v>
      </c>
      <c r="N3" s="108">
        <f ca="1">IFERROR(__xludf.DUMMYFUNCTION("""COMPUTED_VALUE"""),1)</f>
        <v>1</v>
      </c>
      <c r="O3" s="108">
        <f ca="1">IFERROR(__xludf.DUMMYFUNCTION("""COMPUTED_VALUE"""),0)</f>
        <v>0</v>
      </c>
      <c r="P3" s="108">
        <f ca="1">IFERROR(__xludf.DUMMYFUNCTION("""COMPUTED_VALUE"""),0)</f>
        <v>0</v>
      </c>
      <c r="Q3" s="108">
        <f ca="1">IFERROR(__xludf.DUMMYFUNCTION("""COMPUTED_VALUE"""),0)</f>
        <v>0</v>
      </c>
      <c r="R3" s="108">
        <f ca="1">IFERROR(__xludf.DUMMYFUNCTION("""COMPUTED_VALUE"""),0)</f>
        <v>0</v>
      </c>
      <c r="S3" s="108">
        <f ca="1">IFERROR(__xludf.DUMMYFUNCTION("""COMPUTED_VALUE"""),1)</f>
        <v>1</v>
      </c>
      <c r="T3" s="108">
        <f ca="1">IFERROR(__xludf.DUMMYFUNCTION("""COMPUTED_VALUE"""),5)</f>
        <v>5</v>
      </c>
      <c r="U3" s="108">
        <f ca="1">IFERROR(__xludf.DUMMYFUNCTION("""COMPUTED_VALUE"""),0)</f>
        <v>0</v>
      </c>
      <c r="V3" s="108">
        <f ca="1">IFERROR(__xludf.DUMMYFUNCTION("""COMPUTED_VALUE"""),0)</f>
        <v>0</v>
      </c>
      <c r="W3" s="108">
        <f ca="1">IFERROR(__xludf.DUMMYFUNCTION("""COMPUTED_VALUE"""),0)</f>
        <v>0</v>
      </c>
      <c r="X3" s="108">
        <f ca="1">IFERROR(__xludf.DUMMYFUNCTION("""COMPUTED_VALUE"""),0)</f>
        <v>0</v>
      </c>
      <c r="Y3" s="108">
        <f ca="1">IFERROR(__xludf.DUMMYFUNCTION("""COMPUTED_VALUE"""),0)</f>
        <v>0</v>
      </c>
      <c r="Z3" s="108">
        <f ca="1">IFERROR(__xludf.DUMMYFUNCTION("""COMPUTED_VALUE"""),0)</f>
        <v>0</v>
      </c>
      <c r="AA3" s="108">
        <f ca="1">IFERROR(__xludf.DUMMYFUNCTION("""COMPUTED_VALUE"""),0)</f>
        <v>0</v>
      </c>
      <c r="AB3" s="108">
        <f ca="1">IFERROR(__xludf.DUMMYFUNCTION("""COMPUTED_VALUE"""),0)</f>
        <v>0</v>
      </c>
      <c r="AC3" s="108">
        <f ca="1">IFERROR(__xludf.DUMMYFUNCTION("""COMPUTED_VALUE"""),4)</f>
        <v>4</v>
      </c>
      <c r="AD3" s="108">
        <f ca="1">IFERROR(__xludf.DUMMYFUNCTION("""COMPUTED_VALUE"""),4)</f>
        <v>4</v>
      </c>
      <c r="AE3" s="108">
        <f ca="1">IFERROR(__xludf.DUMMYFUNCTION("""COMPUTED_VALUE"""),4)</f>
        <v>4</v>
      </c>
      <c r="AF3" s="108">
        <f ca="1">IFERROR(__xludf.DUMMYFUNCTION("""COMPUTED_VALUE"""),4)</f>
        <v>4</v>
      </c>
      <c r="AG3" s="108">
        <f ca="1">IFERROR(__xludf.DUMMYFUNCTION("""COMPUTED_VALUE"""),0)</f>
        <v>0</v>
      </c>
      <c r="AH3" s="108">
        <f ca="1">IFERROR(__xludf.DUMMYFUNCTION("""COMPUTED_VALUE"""),0)</f>
        <v>0</v>
      </c>
      <c r="AI3" s="108">
        <f ca="1">IFERROR(__xludf.DUMMYFUNCTION("""COMPUTED_VALUE"""),0)</f>
        <v>0</v>
      </c>
      <c r="AJ3" s="108">
        <f ca="1">IFERROR(__xludf.DUMMYFUNCTION("""COMPUTED_VALUE"""),0)</f>
        <v>0</v>
      </c>
      <c r="AK3" s="108">
        <f ca="1">IFERROR(__xludf.DUMMYFUNCTION("""COMPUTED_VALUE"""),0)</f>
        <v>0</v>
      </c>
      <c r="AL3" s="108">
        <f ca="1">IFERROR(__xludf.DUMMYFUNCTION("""COMPUTED_VALUE"""),0)</f>
        <v>0</v>
      </c>
      <c r="AM3" s="108">
        <f ca="1">IFERROR(__xludf.DUMMYFUNCTION("""COMPUTED_VALUE"""),1)</f>
        <v>1</v>
      </c>
      <c r="AN3" s="108">
        <f ca="1">IFERROR(__xludf.DUMMYFUNCTION("""COMPUTED_VALUE"""),1)</f>
        <v>1</v>
      </c>
      <c r="AO3" s="108">
        <f ca="1">IFERROR(__xludf.DUMMYFUNCTION("""COMPUTED_VALUE"""),0)</f>
        <v>0</v>
      </c>
      <c r="AP3" s="108">
        <f ca="1">IFERROR(__xludf.DUMMYFUNCTION("""COMPUTED_VALUE"""),0)</f>
        <v>0</v>
      </c>
      <c r="AQ3" s="108">
        <f ca="1">IFERROR(__xludf.DUMMYFUNCTION("""COMPUTED_VALUE"""),0)</f>
        <v>0</v>
      </c>
      <c r="AR3" s="108">
        <f ca="1">IFERROR(__xludf.DUMMYFUNCTION("""COMPUTED_VALUE"""),0)</f>
        <v>0</v>
      </c>
      <c r="AS3" s="108">
        <f ca="1">IFERROR(__xludf.DUMMYFUNCTION("""COMPUTED_VALUE"""),0)</f>
        <v>0</v>
      </c>
      <c r="AT3" s="108">
        <f ca="1">IFERROR(__xludf.DUMMYFUNCTION("""COMPUTED_VALUE"""),0)</f>
        <v>0</v>
      </c>
      <c r="AU3" s="108">
        <f ca="1">IFERROR(__xludf.DUMMYFUNCTION("""COMPUTED_VALUE"""),0)</f>
        <v>0</v>
      </c>
      <c r="AV3" s="108">
        <f ca="1">IFERROR(__xludf.DUMMYFUNCTION("""COMPUTED_VALUE"""),0)</f>
        <v>0</v>
      </c>
      <c r="AW3" s="108">
        <f ca="1">IFERROR(__xludf.DUMMYFUNCTION("""COMPUTED_VALUE"""),0)</f>
        <v>0</v>
      </c>
      <c r="AX3" s="108">
        <f ca="1">IFERROR(__xludf.DUMMYFUNCTION("""COMPUTED_VALUE"""),0)</f>
        <v>0</v>
      </c>
      <c r="AY3" s="108">
        <f ca="1">IFERROR(__xludf.DUMMYFUNCTION("""COMPUTED_VALUE"""),0)</f>
        <v>0</v>
      </c>
      <c r="AZ3" s="108">
        <f ca="1">IFERROR(__xludf.DUMMYFUNCTION("""COMPUTED_VALUE"""),0)</f>
        <v>0</v>
      </c>
      <c r="BA3" s="108">
        <f ca="1">IFERROR(__xludf.DUMMYFUNCTION("""COMPUTED_VALUE"""),25)</f>
        <v>25</v>
      </c>
      <c r="BB3" s="108">
        <f ca="1">IFERROR(__xludf.DUMMYFUNCTION("""COMPUTED_VALUE"""),23)</f>
        <v>23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  <c r="D4" s="107">
        <f ca="1">IFERROR(__xludf.DUMMYFUNCTION("""COMPUTED_VALUE"""),44464.3303322916)</f>
        <v>44464.330332291604</v>
      </c>
      <c r="E4" s="103" t="str">
        <f ca="1">IFERROR(__xludf.DUMMYFUNCTION("""COMPUTED_VALUE"""),"metro@rtp.com")</f>
        <v>metro@rtp.com</v>
      </c>
      <c r="F4" s="103" t="str">
        <f ca="1">IFERROR(__xludf.DUMMYFUNCTION("""COMPUTED_VALUE"""),"rtp2021")</f>
        <v>rtp2021</v>
      </c>
      <c r="G4" s="103"/>
      <c r="H4" s="103" t="str">
        <f ca="1">IFERROR(__xludf.DUMMYFUNCTION("""COMPUTED_VALUE"""),"บช.น.")</f>
        <v>บช.น.</v>
      </c>
      <c r="I4" s="103">
        <f ca="1">IFERROR(__xludf.DUMMYFUNCTION("""COMPUTED_VALUE"""),0)</f>
        <v>0</v>
      </c>
      <c r="J4" s="103">
        <f ca="1">IFERROR(__xludf.DUMMYFUNCTION("""COMPUTED_VALUE"""),0)</f>
        <v>0</v>
      </c>
      <c r="K4" s="103">
        <f ca="1">IFERROR(__xludf.DUMMYFUNCTION("""COMPUTED_VALUE"""),0)</f>
        <v>0</v>
      </c>
      <c r="L4" s="103">
        <f ca="1">IFERROR(__xludf.DUMMYFUNCTION("""COMPUTED_VALUE"""),0)</f>
        <v>0</v>
      </c>
      <c r="M4" s="103">
        <f ca="1">IFERROR(__xludf.DUMMYFUNCTION("""COMPUTED_VALUE"""),0)</f>
        <v>0</v>
      </c>
      <c r="N4" s="103">
        <f ca="1">IFERROR(__xludf.DUMMYFUNCTION("""COMPUTED_VALUE"""),0)</f>
        <v>0</v>
      </c>
      <c r="O4" s="103">
        <f ca="1">IFERROR(__xludf.DUMMYFUNCTION("""COMPUTED_VALUE"""),0)</f>
        <v>0</v>
      </c>
      <c r="P4" s="103"/>
      <c r="Q4" s="103">
        <f ca="1">IFERROR(__xludf.DUMMYFUNCTION("""COMPUTED_VALUE"""),6)</f>
        <v>6</v>
      </c>
      <c r="R4" s="103">
        <f ca="1">IFERROR(__xludf.DUMMYFUNCTION("""COMPUTED_VALUE"""),6)</f>
        <v>6</v>
      </c>
      <c r="S4" s="103">
        <f ca="1">IFERROR(__xludf.DUMMYFUNCTION("""COMPUTED_VALUE"""),4)</f>
        <v>4</v>
      </c>
      <c r="T4" s="103">
        <f ca="1">IFERROR(__xludf.DUMMYFUNCTION("""COMPUTED_VALUE"""),10)</f>
        <v>10</v>
      </c>
      <c r="U4" s="103"/>
      <c r="V4" s="103"/>
      <c r="W4" s="103"/>
      <c r="X4" s="103"/>
      <c r="Y4" s="103"/>
      <c r="Z4" s="103"/>
      <c r="AA4" s="103">
        <f ca="1">IFERROR(__xludf.DUMMYFUNCTION("""COMPUTED_VALUE"""),1)</f>
        <v>1</v>
      </c>
      <c r="AB4" s="103">
        <f ca="1">IFERROR(__xludf.DUMMYFUNCTION("""COMPUTED_VALUE"""),1)</f>
        <v>1</v>
      </c>
      <c r="AC4" s="103">
        <f ca="1">IFERROR(__xludf.DUMMYFUNCTION("""COMPUTED_VALUE"""),4)</f>
        <v>4</v>
      </c>
      <c r="AD4" s="103">
        <f ca="1">IFERROR(__xludf.DUMMYFUNCTION("""COMPUTED_VALUE"""),4)</f>
        <v>4</v>
      </c>
      <c r="AE4" s="103">
        <f ca="1">IFERROR(__xludf.DUMMYFUNCTION("""COMPUTED_VALUE"""),7)</f>
        <v>7</v>
      </c>
      <c r="AF4" s="103">
        <f ca="1">IFERROR(__xludf.DUMMYFUNCTION("""COMPUTED_VALUE"""),7)</f>
        <v>7</v>
      </c>
      <c r="AG4" s="103">
        <f ca="1">IFERROR(__xludf.DUMMYFUNCTION("""COMPUTED_VALUE"""),12)</f>
        <v>12</v>
      </c>
      <c r="AH4" s="103">
        <f ca="1">IFERROR(__xludf.DUMMYFUNCTION("""COMPUTED_VALUE"""),12)</f>
        <v>12</v>
      </c>
      <c r="AI4" s="103"/>
      <c r="AJ4" s="103"/>
      <c r="AK4" s="103"/>
      <c r="AL4" s="103"/>
      <c r="AM4" s="103">
        <f ca="1">IFERROR(__xludf.DUMMYFUNCTION("""COMPUTED_VALUE"""),17)</f>
        <v>17</v>
      </c>
      <c r="AN4" s="103">
        <f ca="1">IFERROR(__xludf.DUMMYFUNCTION("""COMPUTED_VALUE"""),23)</f>
        <v>23</v>
      </c>
      <c r="AO4" s="103"/>
      <c r="AP4" s="103"/>
      <c r="AQ4" s="103">
        <f ca="1">IFERROR(__xludf.DUMMYFUNCTION("""COMPUTED_VALUE"""),2)</f>
        <v>2</v>
      </c>
      <c r="AR4" s="103">
        <f ca="1">IFERROR(__xludf.DUMMYFUNCTION("""COMPUTED_VALUE"""),2)</f>
        <v>2</v>
      </c>
      <c r="AS4" s="103"/>
      <c r="AT4" s="103"/>
      <c r="AU4" s="103">
        <f ca="1">IFERROR(__xludf.DUMMYFUNCTION("""COMPUTED_VALUE"""),1)</f>
        <v>1</v>
      </c>
      <c r="AV4" s="103">
        <f ca="1">IFERROR(__xludf.DUMMYFUNCTION("""COMPUTED_VALUE"""),1)</f>
        <v>1</v>
      </c>
      <c r="AW4" s="103"/>
      <c r="AX4" s="103"/>
      <c r="AY4" s="103">
        <f ca="1">IFERROR(__xludf.DUMMYFUNCTION("""COMPUTED_VALUE"""),0)</f>
        <v>0</v>
      </c>
      <c r="AZ4" s="103">
        <f ca="1">IFERROR(__xludf.DUMMYFUNCTION("""COMPUTED_VALUE"""),0)</f>
        <v>0</v>
      </c>
      <c r="BA4" s="103">
        <f ca="1">IFERROR(__xludf.DUMMYFUNCTION("""COMPUTED_VALUE"""),33)</f>
        <v>33</v>
      </c>
      <c r="BB4" s="103">
        <f ca="1">IFERROR(__xludf.DUMMYFUNCTION("""COMPUTED_VALUE"""),31)</f>
        <v>31</v>
      </c>
      <c r="BC4" s="103"/>
      <c r="BD4" s="103"/>
      <c r="BE4" s="103"/>
      <c r="BF4" s="103"/>
      <c r="BG4" s="103"/>
      <c r="BH4" s="103"/>
    </row>
    <row r="5" spans="1:67" ht="12.75">
      <c r="A5" s="638"/>
      <c r="B5" s="109" t="s">
        <v>21</v>
      </c>
      <c r="C5" s="110" t="s">
        <v>22</v>
      </c>
      <c r="D5" s="107">
        <f ca="1">IFERROR(__xludf.DUMMYFUNCTION("""COMPUTED_VALUE"""),44465.3333333333)</f>
        <v>44465.333333333299</v>
      </c>
      <c r="E5" s="103" t="str">
        <f ca="1">IFERROR(__xludf.DUMMYFUNCTION("""COMPUTED_VALUE"""),"metro@rtp.com")</f>
        <v>metro@rtp.com</v>
      </c>
      <c r="F5" s="103" t="str">
        <f ca="1">IFERROR(__xludf.DUMMYFUNCTION("""COMPUTED_VALUE"""),"rtp2021")</f>
        <v>rtp2021</v>
      </c>
      <c r="G5" s="103"/>
      <c r="H5" s="103" t="str">
        <f ca="1">IFERROR(__xludf.DUMMYFUNCTION("""COMPUTED_VALUE"""),"บช.น.")</f>
        <v>บช.น.</v>
      </c>
      <c r="I5" s="103"/>
      <c r="J5" s="103"/>
      <c r="K5" s="103"/>
      <c r="L5" s="103"/>
      <c r="M5" s="103"/>
      <c r="N5" s="103"/>
      <c r="O5" s="103"/>
      <c r="P5" s="103"/>
      <c r="Q5" s="103">
        <f ca="1">IFERROR(__xludf.DUMMYFUNCTION("""COMPUTED_VALUE"""),8)</f>
        <v>8</v>
      </c>
      <c r="R5" s="103">
        <f ca="1">IFERROR(__xludf.DUMMYFUNCTION("""COMPUTED_VALUE"""),8)</f>
        <v>8</v>
      </c>
      <c r="S5" s="103">
        <f ca="1">IFERROR(__xludf.DUMMYFUNCTION("""COMPUTED_VALUE"""),5)</f>
        <v>5</v>
      </c>
      <c r="T5" s="103">
        <f ca="1">IFERROR(__xludf.DUMMYFUNCTION("""COMPUTED_VALUE"""),9)</f>
        <v>9</v>
      </c>
      <c r="U5" s="103"/>
      <c r="V5" s="103"/>
      <c r="W5" s="103"/>
      <c r="X5" s="103"/>
      <c r="Y5" s="103"/>
      <c r="Z5" s="103"/>
      <c r="AA5" s="103">
        <f ca="1">IFERROR(__xludf.DUMMYFUNCTION("""COMPUTED_VALUE"""),1)</f>
        <v>1</v>
      </c>
      <c r="AB5" s="103">
        <f ca="1">IFERROR(__xludf.DUMMYFUNCTION("""COMPUTED_VALUE"""),1)</f>
        <v>1</v>
      </c>
      <c r="AC5" s="103">
        <f ca="1">IFERROR(__xludf.DUMMYFUNCTION("""COMPUTED_VALUE"""),3)</f>
        <v>3</v>
      </c>
      <c r="AD5" s="103">
        <f ca="1">IFERROR(__xludf.DUMMYFUNCTION("""COMPUTED_VALUE"""),55)</f>
        <v>55</v>
      </c>
      <c r="AE5" s="103">
        <f ca="1">IFERROR(__xludf.DUMMYFUNCTION("""COMPUTED_VALUE"""),4)</f>
        <v>4</v>
      </c>
      <c r="AF5" s="103">
        <f ca="1">IFERROR(__xludf.DUMMYFUNCTION("""COMPUTED_VALUE"""),4)</f>
        <v>4</v>
      </c>
      <c r="AG5" s="103">
        <f ca="1">IFERROR(__xludf.DUMMYFUNCTION("""COMPUTED_VALUE"""),10)</f>
        <v>10</v>
      </c>
      <c r="AH5" s="103">
        <f ca="1">IFERROR(__xludf.DUMMYFUNCTION("""COMPUTED_VALUE"""),10)</f>
        <v>10</v>
      </c>
      <c r="AI5" s="103"/>
      <c r="AJ5" s="103"/>
      <c r="AK5" s="103"/>
      <c r="AL5" s="103"/>
      <c r="AM5" s="103">
        <f ca="1">IFERROR(__xludf.DUMMYFUNCTION("""COMPUTED_VALUE"""),43)</f>
        <v>43</v>
      </c>
      <c r="AN5" s="103">
        <f ca="1">IFERROR(__xludf.DUMMYFUNCTION("""COMPUTED_VALUE"""),44)</f>
        <v>44</v>
      </c>
      <c r="AO5" s="103"/>
      <c r="AP5" s="103"/>
      <c r="AQ5" s="103">
        <f ca="1">IFERROR(__xludf.DUMMYFUNCTION("""COMPUTED_VALUE"""),2)</f>
        <v>2</v>
      </c>
      <c r="AR5" s="103">
        <f ca="1">IFERROR(__xludf.DUMMYFUNCTION("""COMPUTED_VALUE"""),2)</f>
        <v>2</v>
      </c>
      <c r="AS5" s="103"/>
      <c r="AT5" s="103"/>
      <c r="AU5" s="103"/>
      <c r="AV5" s="103"/>
      <c r="AW5" s="103"/>
      <c r="AX5" s="103"/>
      <c r="AY5" s="103">
        <f ca="1">IFERROR(__xludf.DUMMYFUNCTION("""COMPUTED_VALUE"""),1)</f>
        <v>1</v>
      </c>
      <c r="AZ5" s="103">
        <f ca="1">IFERROR(__xludf.DUMMYFUNCTION("""COMPUTED_VALUE"""),4)</f>
        <v>4</v>
      </c>
      <c r="BA5" s="103">
        <f ca="1">IFERROR(__xludf.DUMMYFUNCTION("""COMPUTED_VALUE"""),30)</f>
        <v>30</v>
      </c>
      <c r="BB5" s="103">
        <f ca="1">IFERROR(__xludf.DUMMYFUNCTION("""COMPUTED_VALUE"""),30)</f>
        <v>30</v>
      </c>
      <c r="BC5" s="103"/>
      <c r="BD5" s="103"/>
      <c r="BE5" s="103"/>
      <c r="BF5" s="103"/>
      <c r="BG5" s="103"/>
      <c r="BH5" s="103"/>
    </row>
    <row r="6" spans="1:67" ht="12.75">
      <c r="A6" s="111" t="s">
        <v>23</v>
      </c>
      <c r="B6" s="112"/>
      <c r="C6" s="113"/>
      <c r="D6" s="107">
        <f ca="1">IFERROR(__xludf.DUMMYFUNCTION("""COMPUTED_VALUE"""),44466.3388189699)</f>
        <v>44466.338818969904</v>
      </c>
      <c r="E6" s="103" t="str">
        <f ca="1">IFERROR(__xludf.DUMMYFUNCTION("""COMPUTED_VALUE"""),"metro@rtp.com")</f>
        <v>metro@rtp.com</v>
      </c>
      <c r="F6" s="103" t="str">
        <f ca="1">IFERROR(__xludf.DUMMYFUNCTION("""COMPUTED_VALUE"""),"rtp2021")</f>
        <v>rtp2021</v>
      </c>
      <c r="G6" s="103"/>
      <c r="H6" s="103" t="str">
        <f ca="1">IFERROR(__xludf.DUMMYFUNCTION("""COMPUTED_VALUE"""),"บช.น.")</f>
        <v>บช.น.</v>
      </c>
      <c r="I6" s="103"/>
      <c r="J6" s="103"/>
      <c r="K6" s="103"/>
      <c r="L6" s="103"/>
      <c r="M6" s="103"/>
      <c r="N6" s="103"/>
      <c r="O6" s="103"/>
      <c r="P6" s="103"/>
      <c r="Q6" s="103">
        <f ca="1">IFERROR(__xludf.DUMMYFUNCTION("""COMPUTED_VALUE"""),4)</f>
        <v>4</v>
      </c>
      <c r="R6" s="103">
        <f ca="1">IFERROR(__xludf.DUMMYFUNCTION("""COMPUTED_VALUE"""),4)</f>
        <v>4</v>
      </c>
      <c r="S6" s="103">
        <f ca="1">IFERROR(__xludf.DUMMYFUNCTION("""COMPUTED_VALUE"""),4)</f>
        <v>4</v>
      </c>
      <c r="T6" s="103">
        <f ca="1">IFERROR(__xludf.DUMMYFUNCTION("""COMPUTED_VALUE"""),13)</f>
        <v>13</v>
      </c>
      <c r="U6" s="103"/>
      <c r="V6" s="103"/>
      <c r="W6" s="103"/>
      <c r="X6" s="103"/>
      <c r="Y6" s="103"/>
      <c r="Z6" s="103"/>
      <c r="AA6" s="103"/>
      <c r="AB6" s="103"/>
      <c r="AC6" s="103">
        <f ca="1">IFERROR(__xludf.DUMMYFUNCTION("""COMPUTED_VALUE"""),5)</f>
        <v>5</v>
      </c>
      <c r="AD6" s="103">
        <f ca="1">IFERROR(__xludf.DUMMYFUNCTION("""COMPUTED_VALUE"""),6)</f>
        <v>6</v>
      </c>
      <c r="AE6" s="103">
        <f ca="1">IFERROR(__xludf.DUMMYFUNCTION("""COMPUTED_VALUE"""),2)</f>
        <v>2</v>
      </c>
      <c r="AF6" s="103">
        <f ca="1">IFERROR(__xludf.DUMMYFUNCTION("""COMPUTED_VALUE"""),2)</f>
        <v>2</v>
      </c>
      <c r="AG6" s="103">
        <f ca="1">IFERROR(__xludf.DUMMYFUNCTION("""COMPUTED_VALUE"""),5)</f>
        <v>5</v>
      </c>
      <c r="AH6" s="103">
        <f ca="1">IFERROR(__xludf.DUMMYFUNCTION("""COMPUTED_VALUE"""),5)</f>
        <v>5</v>
      </c>
      <c r="AI6" s="103"/>
      <c r="AJ6" s="103"/>
      <c r="AK6" s="103"/>
      <c r="AL6" s="103"/>
      <c r="AM6" s="103">
        <f ca="1">IFERROR(__xludf.DUMMYFUNCTION("""COMPUTED_VALUE"""),33)</f>
        <v>33</v>
      </c>
      <c r="AN6" s="103">
        <f ca="1">IFERROR(__xludf.DUMMYFUNCTION("""COMPUTED_VALUE"""),31)</f>
        <v>31</v>
      </c>
      <c r="AO6" s="103"/>
      <c r="AP6" s="103"/>
      <c r="AQ6" s="103">
        <f ca="1">IFERROR(__xludf.DUMMYFUNCTION("""COMPUTED_VALUE"""),2)</f>
        <v>2</v>
      </c>
      <c r="AR6" s="103">
        <f ca="1">IFERROR(__xludf.DUMMYFUNCTION("""COMPUTED_VALUE"""),2)</f>
        <v>2</v>
      </c>
      <c r="AS6" s="103"/>
      <c r="AT6" s="103"/>
      <c r="AU6" s="103">
        <f ca="1">IFERROR(__xludf.DUMMYFUNCTION("""COMPUTED_VALUE"""),1)</f>
        <v>1</v>
      </c>
      <c r="AV6" s="103">
        <f ca="1">IFERROR(__xludf.DUMMYFUNCTION("""COMPUTED_VALUE"""),1)</f>
        <v>1</v>
      </c>
      <c r="AW6" s="103"/>
      <c r="AX6" s="103"/>
      <c r="AY6" s="103"/>
      <c r="AZ6" s="103"/>
      <c r="BA6" s="103">
        <f ca="1">IFERROR(__xludf.DUMMYFUNCTION("""COMPUTED_VALUE"""),50)</f>
        <v>50</v>
      </c>
      <c r="BB6" s="103">
        <f ca="1">IFERROR(__xludf.DUMMYFUNCTION("""COMPUTED_VALUE"""),50)</f>
        <v>50</v>
      </c>
      <c r="BC6" s="103"/>
      <c r="BD6" s="103"/>
      <c r="BE6" s="103"/>
      <c r="BF6" s="103"/>
      <c r="BG6" s="103"/>
      <c r="BH6" s="10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  <c r="D7" s="107">
        <f ca="1">IFERROR(__xludf.DUMMYFUNCTION("""COMPUTED_VALUE"""),44467.3330635763)</f>
        <v>44467.333063576298</v>
      </c>
      <c r="E7" s="103" t="str">
        <f ca="1">IFERROR(__xludf.DUMMYFUNCTION("""COMPUTED_VALUE"""),"metro@rtp.com")</f>
        <v>metro@rtp.com</v>
      </c>
      <c r="F7" s="103" t="str">
        <f ca="1">IFERROR(__xludf.DUMMYFUNCTION("""COMPUTED_VALUE"""),"rtp2021")</f>
        <v>rtp2021</v>
      </c>
      <c r="G7" s="103"/>
      <c r="H7" s="103" t="str">
        <f ca="1">IFERROR(__xludf.DUMMYFUNCTION("""COMPUTED_VALUE"""),"บช.น.")</f>
        <v>บช.น.</v>
      </c>
      <c r="I7" s="103"/>
      <c r="J7" s="103"/>
      <c r="K7" s="103"/>
      <c r="L7" s="103"/>
      <c r="M7" s="103"/>
      <c r="N7" s="103"/>
      <c r="O7" s="103"/>
      <c r="P7" s="103"/>
      <c r="Q7" s="103">
        <f ca="1">IFERROR(__xludf.DUMMYFUNCTION("""COMPUTED_VALUE"""),5)</f>
        <v>5</v>
      </c>
      <c r="R7" s="103">
        <f ca="1">IFERROR(__xludf.DUMMYFUNCTION("""COMPUTED_VALUE"""),5)</f>
        <v>5</v>
      </c>
      <c r="S7" s="103">
        <f ca="1">IFERROR(__xludf.DUMMYFUNCTION("""COMPUTED_VALUE"""),4)</f>
        <v>4</v>
      </c>
      <c r="T7" s="103">
        <f ca="1">IFERROR(__xludf.DUMMYFUNCTION("""COMPUTED_VALUE"""),4)</f>
        <v>4</v>
      </c>
      <c r="U7" s="103"/>
      <c r="V7" s="103"/>
      <c r="W7" s="103"/>
      <c r="X7" s="103"/>
      <c r="Y7" s="103"/>
      <c r="Z7" s="103"/>
      <c r="AA7" s="103"/>
      <c r="AB7" s="103"/>
      <c r="AC7" s="103">
        <f ca="1">IFERROR(__xludf.DUMMYFUNCTION("""COMPUTED_VALUE"""),8)</f>
        <v>8</v>
      </c>
      <c r="AD7" s="103">
        <f ca="1">IFERROR(__xludf.DUMMYFUNCTION("""COMPUTED_VALUE"""),8)</f>
        <v>8</v>
      </c>
      <c r="AE7" s="103">
        <f ca="1">IFERROR(__xludf.DUMMYFUNCTION("""COMPUTED_VALUE"""),2)</f>
        <v>2</v>
      </c>
      <c r="AF7" s="103">
        <f ca="1">IFERROR(__xludf.DUMMYFUNCTION("""COMPUTED_VALUE"""),2)</f>
        <v>2</v>
      </c>
      <c r="AG7" s="103">
        <f ca="1">IFERROR(__xludf.DUMMYFUNCTION("""COMPUTED_VALUE"""),5)</f>
        <v>5</v>
      </c>
      <c r="AH7" s="103">
        <f ca="1">IFERROR(__xludf.DUMMYFUNCTION("""COMPUTED_VALUE"""),5)</f>
        <v>5</v>
      </c>
      <c r="AI7" s="103"/>
      <c r="AJ7" s="103"/>
      <c r="AK7" s="103"/>
      <c r="AL7" s="103"/>
      <c r="AM7" s="103">
        <f ca="1">IFERROR(__xludf.DUMMYFUNCTION("""COMPUTED_VALUE"""),45)</f>
        <v>45</v>
      </c>
      <c r="AN7" s="103">
        <f ca="1">IFERROR(__xludf.DUMMYFUNCTION("""COMPUTED_VALUE"""),45)</f>
        <v>45</v>
      </c>
      <c r="AO7" s="103">
        <f ca="1">IFERROR(__xludf.DUMMYFUNCTION("""COMPUTED_VALUE"""),3)</f>
        <v>3</v>
      </c>
      <c r="AP7" s="103">
        <f ca="1">IFERROR(__xludf.DUMMYFUNCTION("""COMPUTED_VALUE"""),5)</f>
        <v>5</v>
      </c>
      <c r="AQ7" s="103">
        <f ca="1">IFERROR(__xludf.DUMMYFUNCTION("""COMPUTED_VALUE"""),3)</f>
        <v>3</v>
      </c>
      <c r="AR7" s="103">
        <f ca="1">IFERROR(__xludf.DUMMYFUNCTION("""COMPUTED_VALUE"""),4)</f>
        <v>4</v>
      </c>
      <c r="AS7" s="103"/>
      <c r="AT7" s="103"/>
      <c r="AU7" s="103"/>
      <c r="AV7" s="103"/>
      <c r="AW7" s="103"/>
      <c r="AX7" s="103"/>
      <c r="AY7" s="103"/>
      <c r="AZ7" s="103"/>
      <c r="BA7" s="103">
        <f ca="1">IFERROR(__xludf.DUMMYFUNCTION("""COMPUTED_VALUE"""),63)</f>
        <v>63</v>
      </c>
      <c r="BB7" s="103">
        <f ca="1">IFERROR(__xludf.DUMMYFUNCTION("""COMPUTED_VALUE"""),63)</f>
        <v>63</v>
      </c>
      <c r="BC7" s="103"/>
      <c r="BD7" s="103"/>
      <c r="BE7" s="103"/>
      <c r="BF7" s="103"/>
      <c r="BG7" s="103"/>
      <c r="BH7" s="103"/>
    </row>
    <row r="8" spans="1:67" ht="12.75">
      <c r="A8" s="114" t="s">
        <v>25</v>
      </c>
      <c r="B8" s="115"/>
      <c r="C8" s="116"/>
      <c r="D8" s="107">
        <f ca="1">IFERROR(__xludf.DUMMYFUNCTION("""COMPUTED_VALUE"""),44468.3334063078)</f>
        <v>44468.3334063078</v>
      </c>
      <c r="E8" s="103" t="str">
        <f ca="1">IFERROR(__xludf.DUMMYFUNCTION("""COMPUTED_VALUE"""),"metro@rtp.com")</f>
        <v>metro@rtp.com</v>
      </c>
      <c r="F8" s="103" t="str">
        <f ca="1">IFERROR(__xludf.DUMMYFUNCTION("""COMPUTED_VALUE"""),"rtp2021")</f>
        <v>rtp2021</v>
      </c>
      <c r="G8" s="103"/>
      <c r="H8" s="103" t="str">
        <f ca="1">IFERROR(__xludf.DUMMYFUNCTION("""COMPUTED_VALUE"""),"บช.น.")</f>
        <v>บช.น.</v>
      </c>
      <c r="I8" s="103"/>
      <c r="J8" s="103"/>
      <c r="K8" s="103"/>
      <c r="L8" s="103"/>
      <c r="M8" s="103"/>
      <c r="N8" s="103"/>
      <c r="O8" s="103">
        <f ca="1">IFERROR(__xludf.DUMMYFUNCTION("""COMPUTED_VALUE"""),2)</f>
        <v>2</v>
      </c>
      <c r="P8" s="103">
        <f ca="1">IFERROR(__xludf.DUMMYFUNCTION("""COMPUTED_VALUE"""),8)</f>
        <v>8</v>
      </c>
      <c r="Q8" s="103">
        <f ca="1">IFERROR(__xludf.DUMMYFUNCTION("""COMPUTED_VALUE"""),2)</f>
        <v>2</v>
      </c>
      <c r="R8" s="103">
        <f ca="1">IFERROR(__xludf.DUMMYFUNCTION("""COMPUTED_VALUE"""),2)</f>
        <v>2</v>
      </c>
      <c r="S8" s="103">
        <f ca="1">IFERROR(__xludf.DUMMYFUNCTION("""COMPUTED_VALUE"""),7)</f>
        <v>7</v>
      </c>
      <c r="T8" s="103">
        <f ca="1">IFERROR(__xludf.DUMMYFUNCTION("""COMPUTED_VALUE"""),9)</f>
        <v>9</v>
      </c>
      <c r="U8" s="103">
        <f ca="1">IFERROR(__xludf.DUMMYFUNCTION("""COMPUTED_VALUE"""),1)</f>
        <v>1</v>
      </c>
      <c r="V8" s="103">
        <f ca="1">IFERROR(__xludf.DUMMYFUNCTION("""COMPUTED_VALUE"""),1)</f>
        <v>1</v>
      </c>
      <c r="W8" s="103"/>
      <c r="X8" s="103"/>
      <c r="Y8" s="103"/>
      <c r="Z8" s="103"/>
      <c r="AA8" s="103"/>
      <c r="AB8" s="103"/>
      <c r="AC8" s="103">
        <f ca="1">IFERROR(__xludf.DUMMYFUNCTION("""COMPUTED_VALUE"""),9)</f>
        <v>9</v>
      </c>
      <c r="AD8" s="103">
        <f ca="1">IFERROR(__xludf.DUMMYFUNCTION("""COMPUTED_VALUE"""),10)</f>
        <v>10</v>
      </c>
      <c r="AE8" s="103">
        <f ca="1">IFERROR(__xludf.DUMMYFUNCTION("""COMPUTED_VALUE"""),5)</f>
        <v>5</v>
      </c>
      <c r="AF8" s="103">
        <f ca="1">IFERROR(__xludf.DUMMYFUNCTION("""COMPUTED_VALUE"""),5)</f>
        <v>5</v>
      </c>
      <c r="AG8" s="103">
        <f ca="1">IFERROR(__xludf.DUMMYFUNCTION("""COMPUTED_VALUE"""),2)</f>
        <v>2</v>
      </c>
      <c r="AH8" s="103">
        <f ca="1">IFERROR(__xludf.DUMMYFUNCTION("""COMPUTED_VALUE"""),2)</f>
        <v>2</v>
      </c>
      <c r="AI8" s="103"/>
      <c r="AJ8" s="103"/>
      <c r="AK8" s="103"/>
      <c r="AL8" s="103"/>
      <c r="AM8" s="103">
        <f ca="1">IFERROR(__xludf.DUMMYFUNCTION("""COMPUTED_VALUE"""),54)</f>
        <v>54</v>
      </c>
      <c r="AN8" s="103">
        <f ca="1">IFERROR(__xludf.DUMMYFUNCTION("""COMPUTED_VALUE"""),54)</f>
        <v>54</v>
      </c>
      <c r="AO8" s="103"/>
      <c r="AP8" s="103"/>
      <c r="AQ8" s="103">
        <f ca="1">IFERROR(__xludf.DUMMYFUNCTION("""COMPUTED_VALUE"""),3)</f>
        <v>3</v>
      </c>
      <c r="AR8" s="103">
        <f ca="1">IFERROR(__xludf.DUMMYFUNCTION("""COMPUTED_VALUE"""),3)</f>
        <v>3</v>
      </c>
      <c r="AS8" s="103"/>
      <c r="AT8" s="103"/>
      <c r="AU8" s="103"/>
      <c r="AV8" s="103"/>
      <c r="AW8" s="103"/>
      <c r="AX8" s="103"/>
      <c r="AY8" s="103"/>
      <c r="AZ8" s="103"/>
      <c r="BA8" s="103">
        <f ca="1">IFERROR(__xludf.DUMMYFUNCTION("""COMPUTED_VALUE"""),100)</f>
        <v>100</v>
      </c>
      <c r="BB8" s="103">
        <f ca="1">IFERROR(__xludf.DUMMYFUNCTION("""COMPUTED_VALUE"""),101)</f>
        <v>101</v>
      </c>
      <c r="BC8" s="103"/>
      <c r="BD8" s="103"/>
      <c r="BE8" s="103"/>
      <c r="BF8" s="103"/>
      <c r="BG8" s="103"/>
      <c r="BH8" s="103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  <c r="D9" s="107">
        <f ca="1">IFERROR(__xludf.DUMMYFUNCTION("""COMPUTED_VALUE"""),44469.3244323495)</f>
        <v>44469.324432349502</v>
      </c>
      <c r="E9" s="103" t="str">
        <f ca="1">IFERROR(__xludf.DUMMYFUNCTION("""COMPUTED_VALUE"""),"metro@rtp.com")</f>
        <v>metro@rtp.com</v>
      </c>
      <c r="F9" s="103" t="str">
        <f ca="1">IFERROR(__xludf.DUMMYFUNCTION("""COMPUTED_VALUE"""),"rtp2021")</f>
        <v>rtp2021</v>
      </c>
      <c r="G9" s="103"/>
      <c r="H9" s="103" t="str">
        <f ca="1">IFERROR(__xludf.DUMMYFUNCTION("""COMPUTED_VALUE"""),"บช.น.")</f>
        <v>บช.น.</v>
      </c>
      <c r="I9" s="103"/>
      <c r="J9" s="103"/>
      <c r="K9" s="103"/>
      <c r="L9" s="103"/>
      <c r="M9" s="103">
        <f ca="1">IFERROR(__xludf.DUMMYFUNCTION("""COMPUTED_VALUE"""),1)</f>
        <v>1</v>
      </c>
      <c r="N9" s="103">
        <f ca="1">IFERROR(__xludf.DUMMYFUNCTION("""COMPUTED_VALUE"""),1)</f>
        <v>1</v>
      </c>
      <c r="O9" s="103"/>
      <c r="P9" s="103"/>
      <c r="Q9" s="103">
        <f ca="1">IFERROR(__xludf.DUMMYFUNCTION("""COMPUTED_VALUE"""),8)</f>
        <v>8</v>
      </c>
      <c r="R9" s="103">
        <f ca="1">IFERROR(__xludf.DUMMYFUNCTION("""COMPUTED_VALUE"""),8)</f>
        <v>8</v>
      </c>
      <c r="S9" s="103">
        <f ca="1">IFERROR(__xludf.DUMMYFUNCTION("""COMPUTED_VALUE"""),2)</f>
        <v>2</v>
      </c>
      <c r="T9" s="103">
        <f ca="1">IFERROR(__xludf.DUMMYFUNCTION("""COMPUTED_VALUE"""),15)</f>
        <v>15</v>
      </c>
      <c r="U9" s="103"/>
      <c r="V9" s="103"/>
      <c r="W9" s="103"/>
      <c r="X9" s="103"/>
      <c r="Y9" s="103"/>
      <c r="Z9" s="103"/>
      <c r="AA9" s="103"/>
      <c r="AB9" s="103"/>
      <c r="AC9" s="103">
        <f ca="1">IFERROR(__xludf.DUMMYFUNCTION("""COMPUTED_VALUE"""),6)</f>
        <v>6</v>
      </c>
      <c r="AD9" s="103">
        <f ca="1">IFERROR(__xludf.DUMMYFUNCTION("""COMPUTED_VALUE"""),6)</f>
        <v>6</v>
      </c>
      <c r="AE9" s="103">
        <f ca="1">IFERROR(__xludf.DUMMYFUNCTION("""COMPUTED_VALUE"""),5)</f>
        <v>5</v>
      </c>
      <c r="AF9" s="103">
        <f ca="1">IFERROR(__xludf.DUMMYFUNCTION("""COMPUTED_VALUE"""),5)</f>
        <v>5</v>
      </c>
      <c r="AG9" s="103">
        <f ca="1">IFERROR(__xludf.DUMMYFUNCTION("""COMPUTED_VALUE"""),12)</f>
        <v>12</v>
      </c>
      <c r="AH9" s="103">
        <f ca="1">IFERROR(__xludf.DUMMYFUNCTION("""COMPUTED_VALUE"""),12)</f>
        <v>12</v>
      </c>
      <c r="AI9" s="103"/>
      <c r="AJ9" s="103"/>
      <c r="AK9" s="103"/>
      <c r="AL9" s="103"/>
      <c r="AM9" s="103">
        <f ca="1">IFERROR(__xludf.DUMMYFUNCTION("""COMPUTED_VALUE"""),75)</f>
        <v>75</v>
      </c>
      <c r="AN9" s="103">
        <f ca="1">IFERROR(__xludf.DUMMYFUNCTION("""COMPUTED_VALUE"""),75)</f>
        <v>75</v>
      </c>
      <c r="AO9" s="103"/>
      <c r="AP9" s="103"/>
      <c r="AQ9" s="103">
        <f ca="1">IFERROR(__xludf.DUMMYFUNCTION("""COMPUTED_VALUE"""),3)</f>
        <v>3</v>
      </c>
      <c r="AR9" s="103">
        <f ca="1">IFERROR(__xludf.DUMMYFUNCTION("""COMPUTED_VALUE"""),3)</f>
        <v>3</v>
      </c>
      <c r="AS9" s="103"/>
      <c r="AT9" s="103"/>
      <c r="AU9" s="103">
        <f ca="1">IFERROR(__xludf.DUMMYFUNCTION("""COMPUTED_VALUE"""),1)</f>
        <v>1</v>
      </c>
      <c r="AV9" s="103">
        <f ca="1">IFERROR(__xludf.DUMMYFUNCTION("""COMPUTED_VALUE"""),1)</f>
        <v>1</v>
      </c>
      <c r="AW9" s="103"/>
      <c r="AX9" s="103"/>
      <c r="AY9" s="103"/>
      <c r="AZ9" s="103"/>
      <c r="BA9" s="103">
        <f ca="1">IFERROR(__xludf.DUMMYFUNCTION("""COMPUTED_VALUE"""),92)</f>
        <v>92</v>
      </c>
      <c r="BB9" s="103">
        <f ca="1">IFERROR(__xludf.DUMMYFUNCTION("""COMPUTED_VALUE"""),92)</f>
        <v>92</v>
      </c>
      <c r="BC9" s="103"/>
      <c r="BD9" s="103"/>
      <c r="BE9" s="103"/>
      <c r="BF9" s="103"/>
      <c r="BG9" s="103"/>
      <c r="BH9" s="103"/>
    </row>
    <row r="10" spans="1:67" ht="12.75">
      <c r="A10" s="114" t="s">
        <v>27</v>
      </c>
      <c r="B10" s="115">
        <f t="shared" ref="B10:C10" ca="1" si="2">SUM(M:M)</f>
        <v>2</v>
      </c>
      <c r="C10" s="116">
        <f t="shared" ca="1" si="2"/>
        <v>2</v>
      </c>
      <c r="D10" s="107">
        <f ca="1">IFERROR(__xludf.DUMMYFUNCTION("""COMPUTED_VALUE"""),44470.3308129629)</f>
        <v>44470.3308129629</v>
      </c>
      <c r="E10" s="103" t="str">
        <f ca="1">IFERROR(__xludf.DUMMYFUNCTION("""COMPUTED_VALUE"""),"metro@rtp.com")</f>
        <v>metro@rtp.com</v>
      </c>
      <c r="F10" s="103" t="str">
        <f ca="1">IFERROR(__xludf.DUMMYFUNCTION("""COMPUTED_VALUE"""),"rtp2021")</f>
        <v>rtp2021</v>
      </c>
      <c r="G10" s="103"/>
      <c r="H10" s="103" t="str">
        <f ca="1">IFERROR(__xludf.DUMMYFUNCTION("""COMPUTED_VALUE"""),"บช.น.")</f>
        <v>บช.น.</v>
      </c>
      <c r="I10" s="103"/>
      <c r="J10" s="103"/>
      <c r="K10" s="103"/>
      <c r="L10" s="103"/>
      <c r="M10" s="103"/>
      <c r="N10" s="103"/>
      <c r="O10" s="103"/>
      <c r="P10" s="103"/>
      <c r="Q10" s="103">
        <f ca="1">IFERROR(__xludf.DUMMYFUNCTION("""COMPUTED_VALUE"""),5)</f>
        <v>5</v>
      </c>
      <c r="R10" s="103">
        <f ca="1">IFERROR(__xludf.DUMMYFUNCTION("""COMPUTED_VALUE"""),5)</f>
        <v>5</v>
      </c>
      <c r="S10" s="103">
        <f ca="1">IFERROR(__xludf.DUMMYFUNCTION("""COMPUTED_VALUE"""),2)</f>
        <v>2</v>
      </c>
      <c r="T10" s="103">
        <f ca="1">IFERROR(__xludf.DUMMYFUNCTION("""COMPUTED_VALUE"""),2)</f>
        <v>2</v>
      </c>
      <c r="U10" s="103"/>
      <c r="V10" s="103"/>
      <c r="W10" s="103"/>
      <c r="X10" s="103"/>
      <c r="Y10" s="103"/>
      <c r="Z10" s="103"/>
      <c r="AA10" s="103">
        <f ca="1">IFERROR(__xludf.DUMMYFUNCTION("""COMPUTED_VALUE"""),1)</f>
        <v>1</v>
      </c>
      <c r="AB10" s="103">
        <f ca="1">IFERROR(__xludf.DUMMYFUNCTION("""COMPUTED_VALUE"""),1)</f>
        <v>1</v>
      </c>
      <c r="AC10" s="103">
        <f ca="1">IFERROR(__xludf.DUMMYFUNCTION("""COMPUTED_VALUE"""),8)</f>
        <v>8</v>
      </c>
      <c r="AD10" s="103">
        <f ca="1">IFERROR(__xludf.DUMMYFUNCTION("""COMPUTED_VALUE"""),8)</f>
        <v>8</v>
      </c>
      <c r="AE10" s="103">
        <f ca="1">IFERROR(__xludf.DUMMYFUNCTION("""COMPUTED_VALUE"""),3)</f>
        <v>3</v>
      </c>
      <c r="AF10" s="103">
        <f ca="1">IFERROR(__xludf.DUMMYFUNCTION("""COMPUTED_VALUE"""),3)</f>
        <v>3</v>
      </c>
      <c r="AG10" s="103">
        <f ca="1">IFERROR(__xludf.DUMMYFUNCTION("""COMPUTED_VALUE"""),4)</f>
        <v>4</v>
      </c>
      <c r="AH10" s="103">
        <f ca="1">IFERROR(__xludf.DUMMYFUNCTION("""COMPUTED_VALUE"""),4)</f>
        <v>4</v>
      </c>
      <c r="AI10" s="103"/>
      <c r="AJ10" s="103"/>
      <c r="AK10" s="103"/>
      <c r="AL10" s="103"/>
      <c r="AM10" s="103">
        <f ca="1">IFERROR(__xludf.DUMMYFUNCTION("""COMPUTED_VALUE"""),33)</f>
        <v>33</v>
      </c>
      <c r="AN10" s="103">
        <f ca="1">IFERROR(__xludf.DUMMYFUNCTION("""COMPUTED_VALUE"""),33)</f>
        <v>33</v>
      </c>
      <c r="AO10" s="103"/>
      <c r="AP10" s="103"/>
      <c r="AQ10" s="103">
        <f ca="1">IFERROR(__xludf.DUMMYFUNCTION("""COMPUTED_VALUE"""),1)</f>
        <v>1</v>
      </c>
      <c r="AR10" s="103">
        <f ca="1">IFERROR(__xludf.DUMMYFUNCTION("""COMPUTED_VALUE"""),1)</f>
        <v>1</v>
      </c>
      <c r="AS10" s="103">
        <f ca="1">IFERROR(__xludf.DUMMYFUNCTION("""COMPUTED_VALUE"""),1)</f>
        <v>1</v>
      </c>
      <c r="AT10" s="103">
        <f ca="1">IFERROR(__xludf.DUMMYFUNCTION("""COMPUTED_VALUE"""),1)</f>
        <v>1</v>
      </c>
      <c r="AU10" s="103">
        <f ca="1">IFERROR(__xludf.DUMMYFUNCTION("""COMPUTED_VALUE"""),1)</f>
        <v>1</v>
      </c>
      <c r="AV10" s="103">
        <f ca="1">IFERROR(__xludf.DUMMYFUNCTION("""COMPUTED_VALUE"""),1)</f>
        <v>1</v>
      </c>
      <c r="AW10" s="103"/>
      <c r="AX10" s="103"/>
      <c r="AY10" s="103"/>
      <c r="AZ10" s="103"/>
      <c r="BA10" s="103">
        <f ca="1">IFERROR(__xludf.DUMMYFUNCTION("""COMPUTED_VALUE"""),75)</f>
        <v>75</v>
      </c>
      <c r="BB10" s="103">
        <f ca="1">IFERROR(__xludf.DUMMYFUNCTION("""COMPUTED_VALUE"""),75)</f>
        <v>75</v>
      </c>
      <c r="BC10" s="103"/>
      <c r="BD10" s="103"/>
      <c r="BE10" s="103"/>
      <c r="BF10" s="103"/>
      <c r="BG10" s="103"/>
      <c r="BH10" s="103"/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2</v>
      </c>
      <c r="C12" s="116">
        <f t="shared" ca="1" si="3"/>
        <v>8</v>
      </c>
    </row>
    <row r="13" spans="1:67" ht="12.75">
      <c r="A13" s="114" t="s">
        <v>30</v>
      </c>
      <c r="B13" s="115">
        <f t="shared" ref="B13:C13" ca="1" si="4">SUM(Q:Q)</f>
        <v>38</v>
      </c>
      <c r="C13" s="116">
        <f t="shared" ca="1" si="4"/>
        <v>38</v>
      </c>
    </row>
    <row r="14" spans="1:67" ht="12.75">
      <c r="A14" s="114" t="s">
        <v>31</v>
      </c>
      <c r="B14" s="115">
        <f t="shared" ref="B14:C14" ca="1" si="5">SUM(S:S)</f>
        <v>29</v>
      </c>
      <c r="C14" s="116">
        <f t="shared" ca="1" si="5"/>
        <v>67</v>
      </c>
    </row>
    <row r="15" spans="1:67" ht="12.75">
      <c r="A15" s="117" t="s">
        <v>32</v>
      </c>
      <c r="B15" s="118">
        <f t="shared" ref="B15:C15" ca="1" si="6">SUM(B6:B14)</f>
        <v>71</v>
      </c>
      <c r="C15" s="119">
        <f t="shared" ca="1" si="6"/>
        <v>115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1</v>
      </c>
      <c r="C17" s="116">
        <f t="shared" ca="1" si="7"/>
        <v>1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3</v>
      </c>
      <c r="C20" s="116">
        <f t="shared" ca="1" si="10"/>
        <v>3</v>
      </c>
    </row>
    <row r="21" spans="1:3" ht="12.75">
      <c r="A21" s="114" t="s">
        <v>38</v>
      </c>
      <c r="B21" s="115">
        <f t="shared" ref="B21:C21" ca="1" si="11">SUM(AC:AC)</f>
        <v>47</v>
      </c>
      <c r="C21" s="116">
        <f t="shared" ca="1" si="11"/>
        <v>101</v>
      </c>
    </row>
    <row r="22" spans="1:3" ht="12.75">
      <c r="A22" s="114" t="s">
        <v>39</v>
      </c>
      <c r="B22" s="115">
        <f t="shared" ref="B22:C22" ca="1" si="12">SUM(AE:AE)</f>
        <v>32</v>
      </c>
      <c r="C22" s="116">
        <f t="shared" ca="1" si="12"/>
        <v>32</v>
      </c>
    </row>
    <row r="23" spans="1:3" ht="12.75">
      <c r="A23" s="114" t="s">
        <v>40</v>
      </c>
      <c r="B23" s="115">
        <f t="shared" ref="B23:C23" ca="1" si="13">SUM(AG:AG)</f>
        <v>50</v>
      </c>
      <c r="C23" s="116">
        <f t="shared" ca="1" si="13"/>
        <v>50</v>
      </c>
    </row>
    <row r="24" spans="1:3" ht="12.75">
      <c r="A24" s="117" t="s">
        <v>32</v>
      </c>
      <c r="B24" s="118">
        <f t="shared" ref="B24:C24" ca="1" si="14">SUM(B17:B23)</f>
        <v>133</v>
      </c>
      <c r="C24" s="119">
        <f t="shared" ca="1" si="14"/>
        <v>187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0</v>
      </c>
      <c r="C27" s="116">
        <f t="shared" ca="1" si="16"/>
        <v>0</v>
      </c>
    </row>
    <row r="28" spans="1:3" ht="12.75">
      <c r="A28" s="114" t="s">
        <v>44</v>
      </c>
      <c r="B28" s="115">
        <f t="shared" ref="B28:C28" ca="1" si="17">SUM(AM:AM)</f>
        <v>301</v>
      </c>
      <c r="C28" s="116">
        <f t="shared" ca="1" si="17"/>
        <v>306</v>
      </c>
    </row>
    <row r="29" spans="1:3" ht="12.75">
      <c r="A29" s="117" t="s">
        <v>32</v>
      </c>
      <c r="B29" s="118">
        <f t="shared" ref="B29:C29" ca="1" si="18">SUM(B26:B28)</f>
        <v>301</v>
      </c>
      <c r="C29" s="119">
        <f t="shared" ca="1" si="18"/>
        <v>306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3</v>
      </c>
      <c r="C31" s="116">
        <f t="shared" ca="1" si="19"/>
        <v>5</v>
      </c>
    </row>
    <row r="32" spans="1:3" ht="12.75">
      <c r="A32" s="114" t="s">
        <v>47</v>
      </c>
      <c r="B32" s="115">
        <f t="shared" ref="B32:C32" ca="1" si="20">SUM(AQ:AQ)</f>
        <v>16</v>
      </c>
      <c r="C32" s="116">
        <f t="shared" ca="1" si="20"/>
        <v>17</v>
      </c>
    </row>
    <row r="33" spans="1:67" ht="12.75">
      <c r="A33" s="114" t="s">
        <v>48</v>
      </c>
      <c r="B33" s="115">
        <f t="shared" ref="B33:C33" ca="1" si="21">SUM(AS:AS)</f>
        <v>1</v>
      </c>
      <c r="C33" s="116">
        <f t="shared" ca="1" si="21"/>
        <v>1</v>
      </c>
    </row>
    <row r="34" spans="1:67" ht="12.75">
      <c r="A34" s="114" t="s">
        <v>49</v>
      </c>
      <c r="B34" s="115">
        <f t="shared" ref="B34:C34" ca="1" si="22">SUM(AU:AU)</f>
        <v>4</v>
      </c>
      <c r="C34" s="116">
        <f t="shared" ca="1" si="22"/>
        <v>4</v>
      </c>
    </row>
    <row r="35" spans="1:67" ht="12.75">
      <c r="A35" s="114" t="s">
        <v>50</v>
      </c>
      <c r="B35" s="115">
        <f t="shared" ref="B35:C35" ca="1" si="23">SUM(AW:AW)</f>
        <v>0</v>
      </c>
      <c r="C35" s="116">
        <f t="shared" ca="1" si="23"/>
        <v>0</v>
      </c>
    </row>
    <row r="36" spans="1:67" ht="12.75">
      <c r="A36" s="117" t="s">
        <v>32</v>
      </c>
      <c r="B36" s="118">
        <f t="shared" ref="B36:C36" ca="1" si="24">SUM(B31:B35)</f>
        <v>24</v>
      </c>
      <c r="C36" s="119">
        <f t="shared" ca="1" si="24"/>
        <v>27</v>
      </c>
    </row>
    <row r="37" spans="1:67" ht="12.75">
      <c r="A37" s="122" t="s">
        <v>51</v>
      </c>
      <c r="B37" s="123">
        <f t="shared" ref="B37:C37" ca="1" si="25">SUM(AY:AY)</f>
        <v>1</v>
      </c>
      <c r="C37" s="124">
        <f t="shared" ca="1" si="25"/>
        <v>4</v>
      </c>
    </row>
    <row r="38" spans="1:67" ht="12.75">
      <c r="A38" s="125" t="s">
        <v>52</v>
      </c>
      <c r="B38" s="123">
        <f t="shared" ref="B38:C38" ca="1" si="26">SUM(BA:BA)</f>
        <v>468</v>
      </c>
      <c r="C38" s="124">
        <f t="shared" ca="1" si="26"/>
        <v>465</v>
      </c>
    </row>
    <row r="39" spans="1:67" ht="15">
      <c r="A39" s="126" t="s">
        <v>20</v>
      </c>
      <c r="B39" s="127">
        <f t="shared" ref="B39:C39" ca="1" si="27">SUM(B15,B24,B29,B36,B37,B38)</f>
        <v>998</v>
      </c>
      <c r="C39" s="128">
        <f t="shared" ca="1" si="27"/>
        <v>1104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 t="s">
        <v>75</v>
      </c>
      <c r="B2" s="101" t="s">
        <v>76</v>
      </c>
      <c r="C2" s="102" t="s">
        <v>72</v>
      </c>
      <c r="D2" s="103" t="str">
        <f ca="1">IFERROR(__xludf.DUMMYFUNCTION("QUERY('Form Responses 1'!A:BE,""select * where A&gt;= datetime '""&amp;TEXT(B3,""yyyy-mm-dd HH:mm:ss"")&amp;""' and A&lt;= datetime '""&amp;TEXT(C3,""yyyy-mm-dd HH:mm:ss"")&amp;""' and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4</v>
      </c>
      <c r="B3" s="129">
        <v>44463</v>
      </c>
      <c r="C3" s="129">
        <v>44469</v>
      </c>
      <c r="D3" s="130">
        <f ca="1">IFERROR(__xludf.DUMMYFUNCTION("""COMPUTED_VALUE"""),44463.3428661342)</f>
        <v>44463.342866134197</v>
      </c>
      <c r="E3" s="108" t="str">
        <f ca="1">IFERROR(__xludf.DUMMYFUNCTION("""COMPUTED_VALUE"""),"p2@rtp.com")</f>
        <v>p2@rtp.com</v>
      </c>
      <c r="F3" s="108" t="str">
        <f ca="1">IFERROR(__xludf.DUMMYFUNCTION("""COMPUTED_VALUE"""),"rtp2021")</f>
        <v>rtp2021</v>
      </c>
      <c r="G3" s="108"/>
      <c r="H3" s="108" t="str">
        <f ca="1">IFERROR(__xludf.DUMMYFUNCTION("""COMPUTED_VALUE"""),"ภ.2")</f>
        <v>ภ.2</v>
      </c>
      <c r="I3" s="108">
        <f ca="1">IFERROR(__xludf.DUMMYFUNCTION("""COMPUTED_VALUE"""),0)</f>
        <v>0</v>
      </c>
      <c r="J3" s="108">
        <f ca="1">IFERROR(__xludf.DUMMYFUNCTION("""COMPUTED_VALUE"""),0)</f>
        <v>0</v>
      </c>
      <c r="K3" s="108"/>
      <c r="L3" s="108"/>
      <c r="M3" s="108">
        <f ca="1">IFERROR(__xludf.DUMMYFUNCTION("""COMPUTED_VALUE"""),7)</f>
        <v>7</v>
      </c>
      <c r="N3" s="108">
        <f ca="1">IFERROR(__xludf.DUMMYFUNCTION("""COMPUTED_VALUE"""),7)</f>
        <v>7</v>
      </c>
      <c r="O3" s="108"/>
      <c r="P3" s="108"/>
      <c r="Q3" s="108"/>
      <c r="R3" s="108"/>
      <c r="S3" s="108">
        <f ca="1">IFERROR(__xludf.DUMMYFUNCTION("""COMPUTED_VALUE"""),11)</f>
        <v>11</v>
      </c>
      <c r="T3" s="108">
        <f ca="1">IFERROR(__xludf.DUMMYFUNCTION("""COMPUTED_VALUE"""),13)</f>
        <v>13</v>
      </c>
      <c r="U3" s="108"/>
      <c r="V3" s="108"/>
      <c r="W3" s="108"/>
      <c r="X3" s="108"/>
      <c r="Y3" s="108"/>
      <c r="Z3" s="108"/>
      <c r="AA3" s="108"/>
      <c r="AB3" s="108"/>
      <c r="AC3" s="108">
        <f ca="1">IFERROR(__xludf.DUMMYFUNCTION("""COMPUTED_VALUE"""),5)</f>
        <v>5</v>
      </c>
      <c r="AD3" s="108">
        <f ca="1">IFERROR(__xludf.DUMMYFUNCTION("""COMPUTED_VALUE"""),6)</f>
        <v>6</v>
      </c>
      <c r="AE3" s="108">
        <f ca="1">IFERROR(__xludf.DUMMYFUNCTION("""COMPUTED_VALUE"""),12)</f>
        <v>12</v>
      </c>
      <c r="AF3" s="108">
        <f ca="1">IFERROR(__xludf.DUMMYFUNCTION("""COMPUTED_VALUE"""),12)</f>
        <v>12</v>
      </c>
      <c r="AG3" s="108">
        <f ca="1">IFERROR(__xludf.DUMMYFUNCTION("""COMPUTED_VALUE"""),32)</f>
        <v>32</v>
      </c>
      <c r="AH3" s="108">
        <f ca="1">IFERROR(__xludf.DUMMYFUNCTION("""COMPUTED_VALUE"""),32)</f>
        <v>32</v>
      </c>
      <c r="AI3" s="108"/>
      <c r="AJ3" s="108"/>
      <c r="AK3" s="108"/>
      <c r="AL3" s="108"/>
      <c r="AM3" s="108"/>
      <c r="AN3" s="108"/>
      <c r="AO3" s="108"/>
      <c r="AP3" s="108"/>
      <c r="AQ3" s="108">
        <f ca="1">IFERROR(__xludf.DUMMYFUNCTION("""COMPUTED_VALUE"""),4)</f>
        <v>4</v>
      </c>
      <c r="AR3" s="108">
        <f ca="1">IFERROR(__xludf.DUMMYFUNCTION("""COMPUTED_VALUE"""),4)</f>
        <v>4</v>
      </c>
      <c r="AS3" s="108"/>
      <c r="AT3" s="108"/>
      <c r="AU3" s="108"/>
      <c r="AV3" s="108"/>
      <c r="AW3" s="108"/>
      <c r="AX3" s="108"/>
      <c r="AY3" s="108">
        <f ca="1">IFERROR(__xludf.DUMMYFUNCTION("""COMPUTED_VALUE"""),1)</f>
        <v>1</v>
      </c>
      <c r="AZ3" s="108">
        <f ca="1">IFERROR(__xludf.DUMMYFUNCTION("""COMPUTED_VALUE"""),15)</f>
        <v>15</v>
      </c>
      <c r="BA3" s="108">
        <f ca="1">IFERROR(__xludf.DUMMYFUNCTION("""COMPUTED_VALUE"""),24)</f>
        <v>24</v>
      </c>
      <c r="BB3" s="108">
        <f ca="1">IFERROR(__xludf.DUMMYFUNCTION("""COMPUTED_VALUE"""),24)</f>
        <v>24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  <c r="D4" s="107">
        <f ca="1">IFERROR(__xludf.DUMMYFUNCTION("""COMPUTED_VALUE"""),44464.3038538888)</f>
        <v>44464.303853888799</v>
      </c>
      <c r="E4" s="103" t="str">
        <f ca="1">IFERROR(__xludf.DUMMYFUNCTION("""COMPUTED_VALUE"""),"p2@rtp.com")</f>
        <v>p2@rtp.com</v>
      </c>
      <c r="F4" s="103" t="str">
        <f ca="1">IFERROR(__xludf.DUMMYFUNCTION("""COMPUTED_VALUE"""),"rtp2021")</f>
        <v>rtp2021</v>
      </c>
      <c r="G4" s="103"/>
      <c r="H4" s="103" t="str">
        <f ca="1">IFERROR(__xludf.DUMMYFUNCTION("""COMPUTED_VALUE"""),"ภ.2")</f>
        <v>ภ.2</v>
      </c>
      <c r="I4" s="103"/>
      <c r="J4" s="103"/>
      <c r="K4" s="103"/>
      <c r="L4" s="103"/>
      <c r="M4" s="103">
        <f ca="1">IFERROR(__xludf.DUMMYFUNCTION("""COMPUTED_VALUE"""),18)</f>
        <v>18</v>
      </c>
      <c r="N4" s="103">
        <f ca="1">IFERROR(__xludf.DUMMYFUNCTION("""COMPUTED_VALUE"""),18)</f>
        <v>18</v>
      </c>
      <c r="O4" s="103"/>
      <c r="P4" s="103"/>
      <c r="Q4" s="103">
        <f ca="1">IFERROR(__xludf.DUMMYFUNCTION("""COMPUTED_VALUE"""),1)</f>
        <v>1</v>
      </c>
      <c r="R4" s="103">
        <f ca="1">IFERROR(__xludf.DUMMYFUNCTION("""COMPUTED_VALUE"""),1)</f>
        <v>1</v>
      </c>
      <c r="S4" s="103">
        <f ca="1">IFERROR(__xludf.DUMMYFUNCTION("""COMPUTED_VALUE"""),11)</f>
        <v>11</v>
      </c>
      <c r="T4" s="103">
        <f ca="1">IFERROR(__xludf.DUMMYFUNCTION("""COMPUTED_VALUE"""),27)</f>
        <v>27</v>
      </c>
      <c r="U4" s="103">
        <f ca="1">IFERROR(__xludf.DUMMYFUNCTION("""COMPUTED_VALUE"""),3)</f>
        <v>3</v>
      </c>
      <c r="V4" s="103">
        <f ca="1">IFERROR(__xludf.DUMMYFUNCTION("""COMPUTED_VALUE"""),3)</f>
        <v>3</v>
      </c>
      <c r="W4" s="103"/>
      <c r="X4" s="103"/>
      <c r="Y4" s="103"/>
      <c r="Z4" s="103"/>
      <c r="AA4" s="103">
        <f ca="1">IFERROR(__xludf.DUMMYFUNCTION("""COMPUTED_VALUE"""),4)</f>
        <v>4</v>
      </c>
      <c r="AB4" s="103">
        <f ca="1">IFERROR(__xludf.DUMMYFUNCTION("""COMPUTED_VALUE"""),4)</f>
        <v>4</v>
      </c>
      <c r="AC4" s="103">
        <f ca="1">IFERROR(__xludf.DUMMYFUNCTION("""COMPUTED_VALUE"""),7)</f>
        <v>7</v>
      </c>
      <c r="AD4" s="103">
        <f ca="1">IFERROR(__xludf.DUMMYFUNCTION("""COMPUTED_VALUE"""),8)</f>
        <v>8</v>
      </c>
      <c r="AE4" s="103">
        <f ca="1">IFERROR(__xludf.DUMMYFUNCTION("""COMPUTED_VALUE"""),18)</f>
        <v>18</v>
      </c>
      <c r="AF4" s="103">
        <f ca="1">IFERROR(__xludf.DUMMYFUNCTION("""COMPUTED_VALUE"""),19)</f>
        <v>19</v>
      </c>
      <c r="AG4" s="103">
        <f ca="1">IFERROR(__xludf.DUMMYFUNCTION("""COMPUTED_VALUE"""),53)</f>
        <v>53</v>
      </c>
      <c r="AH4" s="103">
        <f ca="1">IFERROR(__xludf.DUMMYFUNCTION("""COMPUTED_VALUE"""),53)</f>
        <v>53</v>
      </c>
      <c r="AI4" s="103"/>
      <c r="AJ4" s="103"/>
      <c r="AK4" s="103"/>
      <c r="AL4" s="103"/>
      <c r="AM4" s="103">
        <f ca="1">IFERROR(__xludf.DUMMYFUNCTION("""COMPUTED_VALUE"""),9)</f>
        <v>9</v>
      </c>
      <c r="AN4" s="103">
        <f ca="1">IFERROR(__xludf.DUMMYFUNCTION("""COMPUTED_VALUE"""),9)</f>
        <v>9</v>
      </c>
      <c r="AO4" s="103"/>
      <c r="AP4" s="103"/>
      <c r="AQ4" s="103">
        <f ca="1">IFERROR(__xludf.DUMMYFUNCTION("""COMPUTED_VALUE"""),5)</f>
        <v>5</v>
      </c>
      <c r="AR4" s="103">
        <f ca="1">IFERROR(__xludf.DUMMYFUNCTION("""COMPUTED_VALUE"""),5)</f>
        <v>5</v>
      </c>
      <c r="AS4" s="103">
        <f ca="1">IFERROR(__xludf.DUMMYFUNCTION("""COMPUTED_VALUE"""),1)</f>
        <v>1</v>
      </c>
      <c r="AT4" s="103">
        <f ca="1">IFERROR(__xludf.DUMMYFUNCTION("""COMPUTED_VALUE"""),1)</f>
        <v>1</v>
      </c>
      <c r="AU4" s="103"/>
      <c r="AV4" s="103"/>
      <c r="AW4" s="103">
        <f ca="1">IFERROR(__xludf.DUMMYFUNCTION("""COMPUTED_VALUE"""),2)</f>
        <v>2</v>
      </c>
      <c r="AX4" s="103">
        <f ca="1">IFERROR(__xludf.DUMMYFUNCTION("""COMPUTED_VALUE"""),2)</f>
        <v>2</v>
      </c>
      <c r="AY4" s="103">
        <f ca="1">IFERROR(__xludf.DUMMYFUNCTION("""COMPUTED_VALUE"""),1)</f>
        <v>1</v>
      </c>
      <c r="AZ4" s="103">
        <f ca="1">IFERROR(__xludf.DUMMYFUNCTION("""COMPUTED_VALUE"""),10)</f>
        <v>10</v>
      </c>
      <c r="BA4" s="103">
        <f ca="1">IFERROR(__xludf.DUMMYFUNCTION("""COMPUTED_VALUE"""),61)</f>
        <v>61</v>
      </c>
      <c r="BB4" s="103">
        <f ca="1">IFERROR(__xludf.DUMMYFUNCTION("""COMPUTED_VALUE"""),61)</f>
        <v>61</v>
      </c>
      <c r="BC4" s="103"/>
      <c r="BD4" s="103"/>
      <c r="BE4" s="103"/>
      <c r="BF4" s="103"/>
      <c r="BG4" s="103"/>
      <c r="BH4" s="103"/>
    </row>
    <row r="5" spans="1:67" ht="12.75">
      <c r="A5" s="638"/>
      <c r="B5" s="109" t="s">
        <v>21</v>
      </c>
      <c r="C5" s="110" t="s">
        <v>22</v>
      </c>
      <c r="D5" s="107">
        <f ca="1">IFERROR(__xludf.DUMMYFUNCTION("""COMPUTED_VALUE"""),44465.3140994212)</f>
        <v>44465.314099421201</v>
      </c>
      <c r="E5" s="103" t="str">
        <f ca="1">IFERROR(__xludf.DUMMYFUNCTION("""COMPUTED_VALUE"""),"p2@rtp.com")</f>
        <v>p2@rtp.com</v>
      </c>
      <c r="F5" s="103" t="str">
        <f ca="1">IFERROR(__xludf.DUMMYFUNCTION("""COMPUTED_VALUE"""),"rtp2021")</f>
        <v>rtp2021</v>
      </c>
      <c r="G5" s="103"/>
      <c r="H5" s="103" t="str">
        <f ca="1">IFERROR(__xludf.DUMMYFUNCTION("""COMPUTED_VALUE"""),"ภ.2")</f>
        <v>ภ.2</v>
      </c>
      <c r="I5" s="103"/>
      <c r="J5" s="103"/>
      <c r="K5" s="103"/>
      <c r="L5" s="103"/>
      <c r="M5" s="103">
        <f ca="1">IFERROR(__xludf.DUMMYFUNCTION("""COMPUTED_VALUE"""),11)</f>
        <v>11</v>
      </c>
      <c r="N5" s="103">
        <f ca="1">IFERROR(__xludf.DUMMYFUNCTION("""COMPUTED_VALUE"""),11)</f>
        <v>11</v>
      </c>
      <c r="O5" s="103"/>
      <c r="P5" s="103"/>
      <c r="Q5" s="103">
        <f ca="1">IFERROR(__xludf.DUMMYFUNCTION("""COMPUTED_VALUE"""),2)</f>
        <v>2</v>
      </c>
      <c r="R5" s="103">
        <f ca="1">IFERROR(__xludf.DUMMYFUNCTION("""COMPUTED_VALUE"""),6)</f>
        <v>6</v>
      </c>
      <c r="S5" s="103">
        <f ca="1">IFERROR(__xludf.DUMMYFUNCTION("""COMPUTED_VALUE"""),6)</f>
        <v>6</v>
      </c>
      <c r="T5" s="103">
        <f ca="1">IFERROR(__xludf.DUMMYFUNCTION("""COMPUTED_VALUE"""),18)</f>
        <v>18</v>
      </c>
      <c r="U5" s="103">
        <f ca="1">IFERROR(__xludf.DUMMYFUNCTION("""COMPUTED_VALUE"""),1)</f>
        <v>1</v>
      </c>
      <c r="V5" s="103">
        <f ca="1">IFERROR(__xludf.DUMMYFUNCTION("""COMPUTED_VALUE"""),1)</f>
        <v>1</v>
      </c>
      <c r="W5" s="103"/>
      <c r="X5" s="103"/>
      <c r="Y5" s="103"/>
      <c r="Z5" s="103"/>
      <c r="AA5" s="103">
        <f ca="1">IFERROR(__xludf.DUMMYFUNCTION("""COMPUTED_VALUE"""),2)</f>
        <v>2</v>
      </c>
      <c r="AB5" s="103">
        <f ca="1">IFERROR(__xludf.DUMMYFUNCTION("""COMPUTED_VALUE"""),2)</f>
        <v>2</v>
      </c>
      <c r="AC5" s="103">
        <f ca="1">IFERROR(__xludf.DUMMYFUNCTION("""COMPUTED_VALUE"""),17)</f>
        <v>17</v>
      </c>
      <c r="AD5" s="103">
        <f ca="1">IFERROR(__xludf.DUMMYFUNCTION("""COMPUTED_VALUE"""),17)</f>
        <v>17</v>
      </c>
      <c r="AE5" s="103">
        <f ca="1">IFERROR(__xludf.DUMMYFUNCTION("""COMPUTED_VALUE"""),12)</f>
        <v>12</v>
      </c>
      <c r="AF5" s="103">
        <f ca="1">IFERROR(__xludf.DUMMYFUNCTION("""COMPUTED_VALUE"""),12)</f>
        <v>12</v>
      </c>
      <c r="AG5" s="103">
        <f ca="1">IFERROR(__xludf.DUMMYFUNCTION("""COMPUTED_VALUE"""),61)</f>
        <v>61</v>
      </c>
      <c r="AH5" s="103">
        <f ca="1">IFERROR(__xludf.DUMMYFUNCTION("""COMPUTED_VALUE"""),61)</f>
        <v>61</v>
      </c>
      <c r="AI5" s="103"/>
      <c r="AJ5" s="103"/>
      <c r="AK5" s="103"/>
      <c r="AL5" s="103"/>
      <c r="AM5" s="103">
        <f ca="1">IFERROR(__xludf.DUMMYFUNCTION("""COMPUTED_VALUE"""),11)</f>
        <v>11</v>
      </c>
      <c r="AN5" s="103">
        <f ca="1">IFERROR(__xludf.DUMMYFUNCTION("""COMPUTED_VALUE"""),11)</f>
        <v>11</v>
      </c>
      <c r="AO5" s="103"/>
      <c r="AP5" s="103"/>
      <c r="AQ5" s="103">
        <f ca="1">IFERROR(__xludf.DUMMYFUNCTION("""COMPUTED_VALUE"""),7)</f>
        <v>7</v>
      </c>
      <c r="AR5" s="103">
        <f ca="1">IFERROR(__xludf.DUMMYFUNCTION("""COMPUTED_VALUE"""),7)</f>
        <v>7</v>
      </c>
      <c r="AS5" s="103">
        <f ca="1">IFERROR(__xludf.DUMMYFUNCTION("""COMPUTED_VALUE"""),2)</f>
        <v>2</v>
      </c>
      <c r="AT5" s="103">
        <f ca="1">IFERROR(__xludf.DUMMYFUNCTION("""COMPUTED_VALUE"""),2)</f>
        <v>2</v>
      </c>
      <c r="AU5" s="103"/>
      <c r="AV5" s="103"/>
      <c r="AW5" s="103">
        <f ca="1">IFERROR(__xludf.DUMMYFUNCTION("""COMPUTED_VALUE"""),5)</f>
        <v>5</v>
      </c>
      <c r="AX5" s="103">
        <f ca="1">IFERROR(__xludf.DUMMYFUNCTION("""COMPUTED_VALUE"""),5)</f>
        <v>5</v>
      </c>
      <c r="AY5" s="103">
        <f ca="1">IFERROR(__xludf.DUMMYFUNCTION("""COMPUTED_VALUE"""),1)</f>
        <v>1</v>
      </c>
      <c r="AZ5" s="103">
        <f ca="1">IFERROR(__xludf.DUMMYFUNCTION("""COMPUTED_VALUE"""),10)</f>
        <v>10</v>
      </c>
      <c r="BA5" s="103">
        <f ca="1">IFERROR(__xludf.DUMMYFUNCTION("""COMPUTED_VALUE"""),54)</f>
        <v>54</v>
      </c>
      <c r="BB5" s="103">
        <f ca="1">IFERROR(__xludf.DUMMYFUNCTION("""COMPUTED_VALUE"""),54)</f>
        <v>54</v>
      </c>
      <c r="BC5" s="103"/>
      <c r="BD5" s="103"/>
      <c r="BE5" s="103"/>
      <c r="BF5" s="103"/>
      <c r="BG5" s="103"/>
      <c r="BH5" s="103"/>
    </row>
    <row r="6" spans="1:67" ht="12.75">
      <c r="A6" s="111" t="s">
        <v>23</v>
      </c>
      <c r="B6" s="112"/>
      <c r="C6" s="113"/>
      <c r="D6" s="107">
        <f ca="1">IFERROR(__xludf.DUMMYFUNCTION("""COMPUTED_VALUE"""),44466.3052502662)</f>
        <v>44466.305250266203</v>
      </c>
      <c r="E6" s="103" t="str">
        <f ca="1">IFERROR(__xludf.DUMMYFUNCTION("""COMPUTED_VALUE"""),"p2@rtp.com")</f>
        <v>p2@rtp.com</v>
      </c>
      <c r="F6" s="103" t="str">
        <f ca="1">IFERROR(__xludf.DUMMYFUNCTION("""COMPUTED_VALUE"""),"rtp2021")</f>
        <v>rtp2021</v>
      </c>
      <c r="G6" s="103"/>
      <c r="H6" s="103" t="str">
        <f ca="1">IFERROR(__xludf.DUMMYFUNCTION("""COMPUTED_VALUE"""),"ภ.2")</f>
        <v>ภ.2</v>
      </c>
      <c r="I6" s="103"/>
      <c r="J6" s="103"/>
      <c r="K6" s="103"/>
      <c r="L6" s="103"/>
      <c r="M6" s="103">
        <f ca="1">IFERROR(__xludf.DUMMYFUNCTION("""COMPUTED_VALUE"""),12)</f>
        <v>12</v>
      </c>
      <c r="N6" s="103">
        <f ca="1">IFERROR(__xludf.DUMMYFUNCTION("""COMPUTED_VALUE"""),12)</f>
        <v>12</v>
      </c>
      <c r="O6" s="103"/>
      <c r="P6" s="103"/>
      <c r="Q6" s="103">
        <f ca="1">IFERROR(__xludf.DUMMYFUNCTION("""COMPUTED_VALUE"""),5)</f>
        <v>5</v>
      </c>
      <c r="R6" s="103">
        <f ca="1">IFERROR(__xludf.DUMMYFUNCTION("""COMPUTED_VALUE"""),5)</f>
        <v>5</v>
      </c>
      <c r="S6" s="103">
        <f ca="1">IFERROR(__xludf.DUMMYFUNCTION("""COMPUTED_VALUE"""),10)</f>
        <v>10</v>
      </c>
      <c r="T6" s="103">
        <f ca="1">IFERROR(__xludf.DUMMYFUNCTION("""COMPUTED_VALUE"""),28)</f>
        <v>28</v>
      </c>
      <c r="U6" s="103">
        <f ca="1">IFERROR(__xludf.DUMMYFUNCTION("""COMPUTED_VALUE"""),3)</f>
        <v>3</v>
      </c>
      <c r="V6" s="103">
        <f ca="1">IFERROR(__xludf.DUMMYFUNCTION("""COMPUTED_VALUE"""),3)</f>
        <v>3</v>
      </c>
      <c r="W6" s="103"/>
      <c r="X6" s="103"/>
      <c r="Y6" s="103"/>
      <c r="Z6" s="103"/>
      <c r="AA6" s="103"/>
      <c r="AB6" s="103"/>
      <c r="AC6" s="103">
        <f ca="1">IFERROR(__xludf.DUMMYFUNCTION("""COMPUTED_VALUE"""),13)</f>
        <v>13</v>
      </c>
      <c r="AD6" s="103">
        <f ca="1">IFERROR(__xludf.DUMMYFUNCTION("""COMPUTED_VALUE"""),13)</f>
        <v>13</v>
      </c>
      <c r="AE6" s="103">
        <f ca="1">IFERROR(__xludf.DUMMYFUNCTION("""COMPUTED_VALUE"""),15)</f>
        <v>15</v>
      </c>
      <c r="AF6" s="103">
        <f ca="1">IFERROR(__xludf.DUMMYFUNCTION("""COMPUTED_VALUE"""),15)</f>
        <v>15</v>
      </c>
      <c r="AG6" s="103">
        <f ca="1">IFERROR(__xludf.DUMMYFUNCTION("""COMPUTED_VALUE"""),56)</f>
        <v>56</v>
      </c>
      <c r="AH6" s="103">
        <f ca="1">IFERROR(__xludf.DUMMYFUNCTION("""COMPUTED_VALUE"""),56)</f>
        <v>56</v>
      </c>
      <c r="AI6" s="103">
        <f ca="1">IFERROR(__xludf.DUMMYFUNCTION("""COMPUTED_VALUE"""),1)</f>
        <v>1</v>
      </c>
      <c r="AJ6" s="103">
        <f ca="1">IFERROR(__xludf.DUMMYFUNCTION("""COMPUTED_VALUE"""),1)</f>
        <v>1</v>
      </c>
      <c r="AK6" s="103"/>
      <c r="AL6" s="103"/>
      <c r="AM6" s="103">
        <f ca="1">IFERROR(__xludf.DUMMYFUNCTION("""COMPUTED_VALUE"""),7)</f>
        <v>7</v>
      </c>
      <c r="AN6" s="103">
        <f ca="1">IFERROR(__xludf.DUMMYFUNCTION("""COMPUTED_VALUE"""),7)</f>
        <v>7</v>
      </c>
      <c r="AO6" s="103"/>
      <c r="AP6" s="103"/>
      <c r="AQ6" s="103">
        <f ca="1">IFERROR(__xludf.DUMMYFUNCTION("""COMPUTED_VALUE"""),6)</f>
        <v>6</v>
      </c>
      <c r="AR6" s="103">
        <f ca="1">IFERROR(__xludf.DUMMYFUNCTION("""COMPUTED_VALUE"""),6)</f>
        <v>6</v>
      </c>
      <c r="AS6" s="103"/>
      <c r="AT6" s="103"/>
      <c r="AU6" s="103"/>
      <c r="AV6" s="103"/>
      <c r="AW6" s="103">
        <f ca="1">IFERROR(__xludf.DUMMYFUNCTION("""COMPUTED_VALUE"""),5)</f>
        <v>5</v>
      </c>
      <c r="AX6" s="103">
        <f ca="1">IFERROR(__xludf.DUMMYFUNCTION("""COMPUTED_VALUE"""),5)</f>
        <v>5</v>
      </c>
      <c r="AY6" s="103"/>
      <c r="AZ6" s="103"/>
      <c r="BA6" s="103">
        <f ca="1">IFERROR(__xludf.DUMMYFUNCTION("""COMPUTED_VALUE"""),66)</f>
        <v>66</v>
      </c>
      <c r="BB6" s="103">
        <f ca="1">IFERROR(__xludf.DUMMYFUNCTION("""COMPUTED_VALUE"""),66)</f>
        <v>66</v>
      </c>
      <c r="BC6" s="103"/>
      <c r="BD6" s="103"/>
      <c r="BE6" s="103"/>
      <c r="BF6" s="103"/>
      <c r="BG6" s="103"/>
      <c r="BH6" s="10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  <c r="D7" s="107">
        <f ca="1">IFERROR(__xludf.DUMMYFUNCTION("""COMPUTED_VALUE"""),44467.3153496527)</f>
        <v>44467.315349652701</v>
      </c>
      <c r="E7" s="103" t="str">
        <f ca="1">IFERROR(__xludf.DUMMYFUNCTION("""COMPUTED_VALUE"""),"p2@rtp.com")</f>
        <v>p2@rtp.com</v>
      </c>
      <c r="F7" s="103" t="str">
        <f ca="1">IFERROR(__xludf.DUMMYFUNCTION("""COMPUTED_VALUE"""),"rtp2021")</f>
        <v>rtp2021</v>
      </c>
      <c r="G7" s="103"/>
      <c r="H7" s="103" t="str">
        <f ca="1">IFERROR(__xludf.DUMMYFUNCTION("""COMPUTED_VALUE"""),"ภ.2")</f>
        <v>ภ.2</v>
      </c>
      <c r="I7" s="103"/>
      <c r="J7" s="103"/>
      <c r="K7" s="103"/>
      <c r="L7" s="103"/>
      <c r="M7" s="103">
        <f ca="1">IFERROR(__xludf.DUMMYFUNCTION("""COMPUTED_VALUE"""),35)</f>
        <v>35</v>
      </c>
      <c r="N7" s="103">
        <f ca="1">IFERROR(__xludf.DUMMYFUNCTION("""COMPUTED_VALUE"""),35)</f>
        <v>35</v>
      </c>
      <c r="O7" s="103"/>
      <c r="P7" s="103"/>
      <c r="Q7" s="103">
        <f ca="1">IFERROR(__xludf.DUMMYFUNCTION("""COMPUTED_VALUE"""),4)</f>
        <v>4</v>
      </c>
      <c r="R7" s="103">
        <f ca="1">IFERROR(__xludf.DUMMYFUNCTION("""COMPUTED_VALUE"""),4)</f>
        <v>4</v>
      </c>
      <c r="S7" s="103">
        <f ca="1">IFERROR(__xludf.DUMMYFUNCTION("""COMPUTED_VALUE"""),9)</f>
        <v>9</v>
      </c>
      <c r="T7" s="103">
        <f ca="1">IFERROR(__xludf.DUMMYFUNCTION("""COMPUTED_VALUE"""),20)</f>
        <v>20</v>
      </c>
      <c r="U7" s="103">
        <f ca="1">IFERROR(__xludf.DUMMYFUNCTION("""COMPUTED_VALUE"""),9)</f>
        <v>9</v>
      </c>
      <c r="V7" s="103">
        <f ca="1">IFERROR(__xludf.DUMMYFUNCTION("""COMPUTED_VALUE"""),9)</f>
        <v>9</v>
      </c>
      <c r="W7" s="103"/>
      <c r="X7" s="103"/>
      <c r="Y7" s="103"/>
      <c r="Z7" s="103"/>
      <c r="AA7" s="103">
        <f ca="1">IFERROR(__xludf.DUMMYFUNCTION("""COMPUTED_VALUE"""),3)</f>
        <v>3</v>
      </c>
      <c r="AB7" s="103">
        <f ca="1">IFERROR(__xludf.DUMMYFUNCTION("""COMPUTED_VALUE"""),3)</f>
        <v>3</v>
      </c>
      <c r="AC7" s="103">
        <f ca="1">IFERROR(__xludf.DUMMYFUNCTION("""COMPUTED_VALUE"""),15)</f>
        <v>15</v>
      </c>
      <c r="AD7" s="103">
        <f ca="1">IFERROR(__xludf.DUMMYFUNCTION("""COMPUTED_VALUE"""),15)</f>
        <v>15</v>
      </c>
      <c r="AE7" s="103">
        <f ca="1">IFERROR(__xludf.DUMMYFUNCTION("""COMPUTED_VALUE"""),32)</f>
        <v>32</v>
      </c>
      <c r="AF7" s="103">
        <f ca="1">IFERROR(__xludf.DUMMYFUNCTION("""COMPUTED_VALUE"""),32)</f>
        <v>32</v>
      </c>
      <c r="AG7" s="103">
        <f ca="1">IFERROR(__xludf.DUMMYFUNCTION("""COMPUTED_VALUE"""),79)</f>
        <v>79</v>
      </c>
      <c r="AH7" s="103">
        <f ca="1">IFERROR(__xludf.DUMMYFUNCTION("""COMPUTED_VALUE"""),79)</f>
        <v>79</v>
      </c>
      <c r="AI7" s="103"/>
      <c r="AJ7" s="103"/>
      <c r="AK7" s="103"/>
      <c r="AL7" s="103"/>
      <c r="AM7" s="103">
        <f ca="1">IFERROR(__xludf.DUMMYFUNCTION("""COMPUTED_VALUE"""),7)</f>
        <v>7</v>
      </c>
      <c r="AN7" s="103">
        <f ca="1">IFERROR(__xludf.DUMMYFUNCTION("""COMPUTED_VALUE"""),7)</f>
        <v>7</v>
      </c>
      <c r="AO7" s="103">
        <f ca="1">IFERROR(__xludf.DUMMYFUNCTION("""COMPUTED_VALUE"""),1)</f>
        <v>1</v>
      </c>
      <c r="AP7" s="103">
        <f ca="1">IFERROR(__xludf.DUMMYFUNCTION("""COMPUTED_VALUE"""),1)</f>
        <v>1</v>
      </c>
      <c r="AQ7" s="103">
        <f ca="1">IFERROR(__xludf.DUMMYFUNCTION("""COMPUTED_VALUE"""),13)</f>
        <v>13</v>
      </c>
      <c r="AR7" s="103">
        <f ca="1">IFERROR(__xludf.DUMMYFUNCTION("""COMPUTED_VALUE"""),13)</f>
        <v>13</v>
      </c>
      <c r="AS7" s="103">
        <f ca="1">IFERROR(__xludf.DUMMYFUNCTION("""COMPUTED_VALUE"""),3)</f>
        <v>3</v>
      </c>
      <c r="AT7" s="103">
        <f ca="1">IFERROR(__xludf.DUMMYFUNCTION("""COMPUTED_VALUE"""),3)</f>
        <v>3</v>
      </c>
      <c r="AU7" s="103">
        <f ca="1">IFERROR(__xludf.DUMMYFUNCTION("""COMPUTED_VALUE"""),1)</f>
        <v>1</v>
      </c>
      <c r="AV7" s="103">
        <f ca="1">IFERROR(__xludf.DUMMYFUNCTION("""COMPUTED_VALUE"""),1)</f>
        <v>1</v>
      </c>
      <c r="AW7" s="103">
        <f ca="1">IFERROR(__xludf.DUMMYFUNCTION("""COMPUTED_VALUE"""),4)</f>
        <v>4</v>
      </c>
      <c r="AX7" s="103">
        <f ca="1">IFERROR(__xludf.DUMMYFUNCTION("""COMPUTED_VALUE"""),4)</f>
        <v>4</v>
      </c>
      <c r="AY7" s="103">
        <f ca="1">IFERROR(__xludf.DUMMYFUNCTION("""COMPUTED_VALUE"""),7)</f>
        <v>7</v>
      </c>
      <c r="AZ7" s="103">
        <f ca="1">IFERROR(__xludf.DUMMYFUNCTION("""COMPUTED_VALUE"""),7)</f>
        <v>7</v>
      </c>
      <c r="BA7" s="103">
        <f ca="1">IFERROR(__xludf.DUMMYFUNCTION("""COMPUTED_VALUE"""),100)</f>
        <v>100</v>
      </c>
      <c r="BB7" s="103">
        <f ca="1">IFERROR(__xludf.DUMMYFUNCTION("""COMPUTED_VALUE"""),100)</f>
        <v>100</v>
      </c>
      <c r="BC7" s="103"/>
      <c r="BD7" s="103"/>
      <c r="BE7" s="103"/>
      <c r="BF7" s="103"/>
      <c r="BG7" s="103"/>
      <c r="BH7" s="103"/>
    </row>
    <row r="8" spans="1:67" ht="12.75">
      <c r="A8" s="114" t="s">
        <v>25</v>
      </c>
      <c r="B8" s="115"/>
      <c r="C8" s="116"/>
      <c r="D8" s="107">
        <f ca="1">IFERROR(__xludf.DUMMYFUNCTION("""COMPUTED_VALUE"""),44468.3326856365)</f>
        <v>44468.332685636502</v>
      </c>
      <c r="E8" s="103" t="str">
        <f ca="1">IFERROR(__xludf.DUMMYFUNCTION("""COMPUTED_VALUE"""),"p2@rtp.com")</f>
        <v>p2@rtp.com</v>
      </c>
      <c r="F8" s="103" t="str">
        <f ca="1">IFERROR(__xludf.DUMMYFUNCTION("""COMPUTED_VALUE"""),"rtp2021")</f>
        <v>rtp2021</v>
      </c>
      <c r="G8" s="103"/>
      <c r="H8" s="103" t="str">
        <f ca="1">IFERROR(__xludf.DUMMYFUNCTION("""COMPUTED_VALUE"""),"ภ.2")</f>
        <v>ภ.2</v>
      </c>
      <c r="I8" s="103"/>
      <c r="J8" s="103"/>
      <c r="K8" s="103"/>
      <c r="L8" s="103"/>
      <c r="M8" s="103">
        <f ca="1">IFERROR(__xludf.DUMMYFUNCTION("""COMPUTED_VALUE"""),57)</f>
        <v>57</v>
      </c>
      <c r="N8" s="103">
        <f ca="1">IFERROR(__xludf.DUMMYFUNCTION("""COMPUTED_VALUE"""),57)</f>
        <v>57</v>
      </c>
      <c r="O8" s="103"/>
      <c r="P8" s="103"/>
      <c r="Q8" s="103">
        <f ca="1">IFERROR(__xludf.DUMMYFUNCTION("""COMPUTED_VALUE"""),1)</f>
        <v>1</v>
      </c>
      <c r="R8" s="103">
        <f ca="1">IFERROR(__xludf.DUMMYFUNCTION("""COMPUTED_VALUE"""),1)</f>
        <v>1</v>
      </c>
      <c r="S8" s="103">
        <f ca="1">IFERROR(__xludf.DUMMYFUNCTION("""COMPUTED_VALUE"""),10)</f>
        <v>10</v>
      </c>
      <c r="T8" s="103">
        <f ca="1">IFERROR(__xludf.DUMMYFUNCTION("""COMPUTED_VALUE"""),31)</f>
        <v>31</v>
      </c>
      <c r="U8" s="103">
        <f ca="1">IFERROR(__xludf.DUMMYFUNCTION("""COMPUTED_VALUE"""),4)</f>
        <v>4</v>
      </c>
      <c r="V8" s="103">
        <f ca="1">IFERROR(__xludf.DUMMYFUNCTION("""COMPUTED_VALUE"""),4)</f>
        <v>4</v>
      </c>
      <c r="W8" s="103"/>
      <c r="X8" s="103"/>
      <c r="Y8" s="103"/>
      <c r="Z8" s="103"/>
      <c r="AA8" s="103">
        <f ca="1">IFERROR(__xludf.DUMMYFUNCTION("""COMPUTED_VALUE"""),4)</f>
        <v>4</v>
      </c>
      <c r="AB8" s="103">
        <f ca="1">IFERROR(__xludf.DUMMYFUNCTION("""COMPUTED_VALUE"""),4)</f>
        <v>4</v>
      </c>
      <c r="AC8" s="103">
        <f ca="1">IFERROR(__xludf.DUMMYFUNCTION("""COMPUTED_VALUE"""),19)</f>
        <v>19</v>
      </c>
      <c r="AD8" s="103">
        <f ca="1">IFERROR(__xludf.DUMMYFUNCTION("""COMPUTED_VALUE"""),20)</f>
        <v>20</v>
      </c>
      <c r="AE8" s="103">
        <f ca="1">IFERROR(__xludf.DUMMYFUNCTION("""COMPUTED_VALUE"""),19)</f>
        <v>19</v>
      </c>
      <c r="AF8" s="103">
        <f ca="1">IFERROR(__xludf.DUMMYFUNCTION("""COMPUTED_VALUE"""),19)</f>
        <v>19</v>
      </c>
      <c r="AG8" s="103">
        <f ca="1">IFERROR(__xludf.DUMMYFUNCTION("""COMPUTED_VALUE"""),68)</f>
        <v>68</v>
      </c>
      <c r="AH8" s="103">
        <f ca="1">IFERROR(__xludf.DUMMYFUNCTION("""COMPUTED_VALUE"""),68)</f>
        <v>68</v>
      </c>
      <c r="AI8" s="103">
        <f ca="1">IFERROR(__xludf.DUMMYFUNCTION("""COMPUTED_VALUE"""),3)</f>
        <v>3</v>
      </c>
      <c r="AJ8" s="103">
        <f ca="1">IFERROR(__xludf.DUMMYFUNCTION("""COMPUTED_VALUE"""),3)</f>
        <v>3</v>
      </c>
      <c r="AK8" s="103"/>
      <c r="AL8" s="103"/>
      <c r="AM8" s="103">
        <f ca="1">IFERROR(__xludf.DUMMYFUNCTION("""COMPUTED_VALUE"""),8)</f>
        <v>8</v>
      </c>
      <c r="AN8" s="103">
        <f ca="1">IFERROR(__xludf.DUMMYFUNCTION("""COMPUTED_VALUE"""),8)</f>
        <v>8</v>
      </c>
      <c r="AO8" s="103"/>
      <c r="AP8" s="103"/>
      <c r="AQ8" s="103">
        <f ca="1">IFERROR(__xludf.DUMMYFUNCTION("""COMPUTED_VALUE"""),21)</f>
        <v>21</v>
      </c>
      <c r="AR8" s="103">
        <f ca="1">IFERROR(__xludf.DUMMYFUNCTION("""COMPUTED_VALUE"""),21)</f>
        <v>21</v>
      </c>
      <c r="AS8" s="103">
        <f ca="1">IFERROR(__xludf.DUMMYFUNCTION("""COMPUTED_VALUE"""),1)</f>
        <v>1</v>
      </c>
      <c r="AT8" s="103">
        <f ca="1">IFERROR(__xludf.DUMMYFUNCTION("""COMPUTED_VALUE"""),1)</f>
        <v>1</v>
      </c>
      <c r="AU8" s="103">
        <f ca="1">IFERROR(__xludf.DUMMYFUNCTION("""COMPUTED_VALUE"""),1)</f>
        <v>1</v>
      </c>
      <c r="AV8" s="103">
        <f ca="1">IFERROR(__xludf.DUMMYFUNCTION("""COMPUTED_VALUE"""),1)</f>
        <v>1</v>
      </c>
      <c r="AW8" s="103">
        <f ca="1">IFERROR(__xludf.DUMMYFUNCTION("""COMPUTED_VALUE"""),7)</f>
        <v>7</v>
      </c>
      <c r="AX8" s="103">
        <f ca="1">IFERROR(__xludf.DUMMYFUNCTION("""COMPUTED_VALUE"""),7)</f>
        <v>7</v>
      </c>
      <c r="AY8" s="103"/>
      <c r="AZ8" s="103"/>
      <c r="BA8" s="103">
        <f ca="1">IFERROR(__xludf.DUMMYFUNCTION("""COMPUTED_VALUE"""),80)</f>
        <v>80</v>
      </c>
      <c r="BB8" s="103">
        <f ca="1">IFERROR(__xludf.DUMMYFUNCTION("""COMPUTED_VALUE"""),80)</f>
        <v>80</v>
      </c>
      <c r="BC8" s="103"/>
      <c r="BD8" s="103"/>
      <c r="BE8" s="103"/>
      <c r="BF8" s="103"/>
      <c r="BG8" s="103"/>
      <c r="BH8" s="103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</row>
    <row r="10" spans="1:67" ht="12.75">
      <c r="A10" s="114" t="s">
        <v>27</v>
      </c>
      <c r="B10" s="115">
        <f t="shared" ref="B10:C10" ca="1" si="2">SUM(M:M)</f>
        <v>140</v>
      </c>
      <c r="C10" s="116">
        <f t="shared" ca="1" si="2"/>
        <v>140</v>
      </c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0</v>
      </c>
      <c r="C12" s="116">
        <f t="shared" ca="1" si="3"/>
        <v>0</v>
      </c>
    </row>
    <row r="13" spans="1:67" ht="12.75">
      <c r="A13" s="114" t="s">
        <v>30</v>
      </c>
      <c r="B13" s="115">
        <f t="shared" ref="B13:C13" ca="1" si="4">SUM(Q:Q)</f>
        <v>13</v>
      </c>
      <c r="C13" s="116">
        <f t="shared" ca="1" si="4"/>
        <v>17</v>
      </c>
    </row>
    <row r="14" spans="1:67" ht="12.75">
      <c r="A14" s="114" t="s">
        <v>31</v>
      </c>
      <c r="B14" s="115">
        <f t="shared" ref="B14:C14" ca="1" si="5">SUM(S:S)</f>
        <v>57</v>
      </c>
      <c r="C14" s="116">
        <f t="shared" ca="1" si="5"/>
        <v>137</v>
      </c>
    </row>
    <row r="15" spans="1:67" ht="12.75">
      <c r="A15" s="117" t="s">
        <v>32</v>
      </c>
      <c r="B15" s="118">
        <f t="shared" ref="B15:C15" ca="1" si="6">SUM(B6:B14)</f>
        <v>210</v>
      </c>
      <c r="C15" s="119">
        <f t="shared" ca="1" si="6"/>
        <v>294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20</v>
      </c>
      <c r="C17" s="116">
        <f t="shared" ca="1" si="7"/>
        <v>20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13</v>
      </c>
      <c r="C20" s="116">
        <f t="shared" ca="1" si="10"/>
        <v>13</v>
      </c>
    </row>
    <row r="21" spans="1:3" ht="12.75">
      <c r="A21" s="114" t="s">
        <v>38</v>
      </c>
      <c r="B21" s="115">
        <f t="shared" ref="B21:C21" ca="1" si="11">SUM(AC:AC)</f>
        <v>76</v>
      </c>
      <c r="C21" s="116">
        <f t="shared" ca="1" si="11"/>
        <v>79</v>
      </c>
    </row>
    <row r="22" spans="1:3" ht="12.75">
      <c r="A22" s="114" t="s">
        <v>39</v>
      </c>
      <c r="B22" s="115">
        <f t="shared" ref="B22:C22" ca="1" si="12">SUM(AE:AE)</f>
        <v>108</v>
      </c>
      <c r="C22" s="116">
        <f t="shared" ca="1" si="12"/>
        <v>109</v>
      </c>
    </row>
    <row r="23" spans="1:3" ht="12.75">
      <c r="A23" s="114" t="s">
        <v>40</v>
      </c>
      <c r="B23" s="115">
        <f t="shared" ref="B23:C23" ca="1" si="13">SUM(AG:AG)</f>
        <v>349</v>
      </c>
      <c r="C23" s="116">
        <f t="shared" ca="1" si="13"/>
        <v>349</v>
      </c>
    </row>
    <row r="24" spans="1:3" ht="12.75">
      <c r="A24" s="117" t="s">
        <v>32</v>
      </c>
      <c r="B24" s="118">
        <f t="shared" ref="B24:C24" ca="1" si="14">SUM(B17:B23)</f>
        <v>566</v>
      </c>
      <c r="C24" s="119">
        <f t="shared" ca="1" si="14"/>
        <v>570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4</v>
      </c>
      <c r="C26" s="116">
        <f t="shared" ca="1" si="15"/>
        <v>4</v>
      </c>
    </row>
    <row r="27" spans="1:3" ht="12.75">
      <c r="A27" s="114" t="s">
        <v>43</v>
      </c>
      <c r="B27" s="115">
        <f t="shared" ref="B27:C27" ca="1" si="16">SUM(AK:AK)</f>
        <v>0</v>
      </c>
      <c r="C27" s="116">
        <f t="shared" ca="1" si="16"/>
        <v>0</v>
      </c>
    </row>
    <row r="28" spans="1:3" ht="12.75">
      <c r="A28" s="114" t="s">
        <v>44</v>
      </c>
      <c r="B28" s="115">
        <f t="shared" ref="B28:C28" ca="1" si="17">SUM(AM:AM)</f>
        <v>42</v>
      </c>
      <c r="C28" s="116">
        <f t="shared" ca="1" si="17"/>
        <v>42</v>
      </c>
    </row>
    <row r="29" spans="1:3" ht="12.75">
      <c r="A29" s="117" t="s">
        <v>32</v>
      </c>
      <c r="B29" s="118">
        <f t="shared" ref="B29:C29" ca="1" si="18">SUM(B26:B28)</f>
        <v>46</v>
      </c>
      <c r="C29" s="119">
        <f t="shared" ca="1" si="18"/>
        <v>46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1</v>
      </c>
      <c r="C31" s="116">
        <f t="shared" ca="1" si="19"/>
        <v>1</v>
      </c>
    </row>
    <row r="32" spans="1:3" ht="12.75">
      <c r="A32" s="114" t="s">
        <v>47</v>
      </c>
      <c r="B32" s="115">
        <f t="shared" ref="B32:C32" ca="1" si="20">SUM(AQ:AQ)</f>
        <v>56</v>
      </c>
      <c r="C32" s="116">
        <f t="shared" ca="1" si="20"/>
        <v>56</v>
      </c>
    </row>
    <row r="33" spans="1:67" ht="12.75">
      <c r="A33" s="114" t="s">
        <v>48</v>
      </c>
      <c r="B33" s="115">
        <f t="shared" ref="B33:C33" ca="1" si="21">SUM(AS:AS)</f>
        <v>7</v>
      </c>
      <c r="C33" s="116">
        <f t="shared" ca="1" si="21"/>
        <v>7</v>
      </c>
    </row>
    <row r="34" spans="1:67" ht="12.75">
      <c r="A34" s="114" t="s">
        <v>49</v>
      </c>
      <c r="B34" s="115">
        <f t="shared" ref="B34:C34" ca="1" si="22">SUM(AU:AU)</f>
        <v>2</v>
      </c>
      <c r="C34" s="116">
        <f t="shared" ca="1" si="22"/>
        <v>2</v>
      </c>
    </row>
    <row r="35" spans="1:67" ht="12.75">
      <c r="A35" s="114" t="s">
        <v>50</v>
      </c>
      <c r="B35" s="115">
        <f t="shared" ref="B35:C35" ca="1" si="23">SUM(AW:AW)</f>
        <v>23</v>
      </c>
      <c r="C35" s="116">
        <f t="shared" ca="1" si="23"/>
        <v>23</v>
      </c>
    </row>
    <row r="36" spans="1:67" ht="12.75">
      <c r="A36" s="117" t="s">
        <v>32</v>
      </c>
      <c r="B36" s="118">
        <f t="shared" ref="B36:C36" ca="1" si="24">SUM(B31:B35)</f>
        <v>89</v>
      </c>
      <c r="C36" s="119">
        <f t="shared" ca="1" si="24"/>
        <v>89</v>
      </c>
    </row>
    <row r="37" spans="1:67" ht="12.75">
      <c r="A37" s="122" t="s">
        <v>51</v>
      </c>
      <c r="B37" s="123">
        <f t="shared" ref="B37:C37" ca="1" si="25">SUM(AY:AY)</f>
        <v>10</v>
      </c>
      <c r="C37" s="124">
        <f t="shared" ca="1" si="25"/>
        <v>42</v>
      </c>
    </row>
    <row r="38" spans="1:67" ht="12.75">
      <c r="A38" s="125" t="s">
        <v>52</v>
      </c>
      <c r="B38" s="123">
        <f t="shared" ref="B38:C38" ca="1" si="26">SUM(BA:BA)</f>
        <v>385</v>
      </c>
      <c r="C38" s="124">
        <f t="shared" ca="1" si="26"/>
        <v>385</v>
      </c>
    </row>
    <row r="39" spans="1:67" ht="15">
      <c r="A39" s="126" t="s">
        <v>20</v>
      </c>
      <c r="B39" s="127">
        <f t="shared" ref="B39:C39" ca="1" si="27">SUM(B15,B24,B29,B36,B37,B38)</f>
        <v>1306</v>
      </c>
      <c r="C39" s="128">
        <f t="shared" ca="1" si="27"/>
        <v>1426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2">
    <dataValidation type="list" allowBlank="1" sqref="A3">
      <formula1>"บช.น.,ภ.1,ภ.2,ภ.3,ภ.4,ภ.5,ภ.6,ภ.7,ภ.8,ภ.9,บช.ก.,บช.สอท.,บช.ปส.,สตม.,บช.ทท.,บช.ตชด."</formula1>
    </dataValidation>
    <dataValidation type="list" allowBlank="1" sqref="B3:C3">
      <formula1>"9/24/2021,9/25/2021,9/26/2021,9/27/2021,9/28/2021,9/29/2021,9/30/2021"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 t="s">
        <v>77</v>
      </c>
      <c r="C2" s="102" t="s">
        <v>72</v>
      </c>
      <c r="D2" s="103" t="str">
        <f ca="1">IFERROR(__xludf.DUMMYFUNCTION("QUERY('Form Responses 1'!A:BE,""select * where A&gt;= datetime '""&amp;TEXT(B3,""yyyy-mm-dd HH:mm:ss"")&amp;""' and A&lt;= datetime '""&amp;TEXT(B3+1,""yyyy-mm-dd HH:mm:ss"")&amp;""' and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11</v>
      </c>
      <c r="B3" s="129" t="e">
        <f>#REF!</f>
        <v>#REF!</v>
      </c>
      <c r="C3" s="131" t="e">
        <f>B3-1</f>
        <v>#REF!</v>
      </c>
      <c r="D3" s="130">
        <f ca="1">IFERROR(__xludf.DUMMYFUNCTION("""COMPUTED_VALUE"""),44470.3308129629)</f>
        <v>44470.3308129629</v>
      </c>
      <c r="E3" s="108" t="str">
        <f ca="1">IFERROR(__xludf.DUMMYFUNCTION("""COMPUTED_VALUE"""),"metro@rtp.com")</f>
        <v>metro@rtp.com</v>
      </c>
      <c r="F3" s="108" t="str">
        <f ca="1">IFERROR(__xludf.DUMMYFUNCTION("""COMPUTED_VALUE"""),"rtp2021")</f>
        <v>rtp2021</v>
      </c>
      <c r="G3" s="108"/>
      <c r="H3" s="108" t="str">
        <f ca="1">IFERROR(__xludf.DUMMYFUNCTION("""COMPUTED_VALUE"""),"บช.น.")</f>
        <v>บช.น.</v>
      </c>
      <c r="I3" s="108"/>
      <c r="J3" s="108"/>
      <c r="K3" s="108"/>
      <c r="L3" s="108"/>
      <c r="M3" s="108"/>
      <c r="N3" s="108"/>
      <c r="O3" s="108"/>
      <c r="P3" s="108"/>
      <c r="Q3" s="108">
        <f ca="1">IFERROR(__xludf.DUMMYFUNCTION("""COMPUTED_VALUE"""),5)</f>
        <v>5</v>
      </c>
      <c r="R3" s="108">
        <f ca="1">IFERROR(__xludf.DUMMYFUNCTION("""COMPUTED_VALUE"""),5)</f>
        <v>5</v>
      </c>
      <c r="S3" s="108">
        <f ca="1">IFERROR(__xludf.DUMMYFUNCTION("""COMPUTED_VALUE"""),2)</f>
        <v>2</v>
      </c>
      <c r="T3" s="108">
        <f ca="1">IFERROR(__xludf.DUMMYFUNCTION("""COMPUTED_VALUE"""),2)</f>
        <v>2</v>
      </c>
      <c r="U3" s="108"/>
      <c r="V3" s="108"/>
      <c r="W3" s="108"/>
      <c r="X3" s="108"/>
      <c r="Y3" s="108"/>
      <c r="Z3" s="108"/>
      <c r="AA3" s="108">
        <f ca="1">IFERROR(__xludf.DUMMYFUNCTION("""COMPUTED_VALUE"""),1)</f>
        <v>1</v>
      </c>
      <c r="AB3" s="108">
        <f ca="1">IFERROR(__xludf.DUMMYFUNCTION("""COMPUTED_VALUE"""),1)</f>
        <v>1</v>
      </c>
      <c r="AC3" s="108">
        <f ca="1">IFERROR(__xludf.DUMMYFUNCTION("""COMPUTED_VALUE"""),8)</f>
        <v>8</v>
      </c>
      <c r="AD3" s="108">
        <f ca="1">IFERROR(__xludf.DUMMYFUNCTION("""COMPUTED_VALUE"""),8)</f>
        <v>8</v>
      </c>
      <c r="AE3" s="108">
        <f ca="1">IFERROR(__xludf.DUMMYFUNCTION("""COMPUTED_VALUE"""),3)</f>
        <v>3</v>
      </c>
      <c r="AF3" s="108">
        <f ca="1">IFERROR(__xludf.DUMMYFUNCTION("""COMPUTED_VALUE"""),3)</f>
        <v>3</v>
      </c>
      <c r="AG3" s="108">
        <f ca="1">IFERROR(__xludf.DUMMYFUNCTION("""COMPUTED_VALUE"""),4)</f>
        <v>4</v>
      </c>
      <c r="AH3" s="108">
        <f ca="1">IFERROR(__xludf.DUMMYFUNCTION("""COMPUTED_VALUE"""),4)</f>
        <v>4</v>
      </c>
      <c r="AI3" s="108"/>
      <c r="AJ3" s="108"/>
      <c r="AK3" s="108"/>
      <c r="AL3" s="108"/>
      <c r="AM3" s="108">
        <f ca="1">IFERROR(__xludf.DUMMYFUNCTION("""COMPUTED_VALUE"""),33)</f>
        <v>33</v>
      </c>
      <c r="AN3" s="108">
        <f ca="1">IFERROR(__xludf.DUMMYFUNCTION("""COMPUTED_VALUE"""),33)</f>
        <v>33</v>
      </c>
      <c r="AO3" s="108"/>
      <c r="AP3" s="108"/>
      <c r="AQ3" s="108">
        <f ca="1">IFERROR(__xludf.DUMMYFUNCTION("""COMPUTED_VALUE"""),1)</f>
        <v>1</v>
      </c>
      <c r="AR3" s="108">
        <f ca="1">IFERROR(__xludf.DUMMYFUNCTION("""COMPUTED_VALUE"""),1)</f>
        <v>1</v>
      </c>
      <c r="AS3" s="108">
        <f ca="1">IFERROR(__xludf.DUMMYFUNCTION("""COMPUTED_VALUE"""),1)</f>
        <v>1</v>
      </c>
      <c r="AT3" s="108">
        <f ca="1">IFERROR(__xludf.DUMMYFUNCTION("""COMPUTED_VALUE"""),1)</f>
        <v>1</v>
      </c>
      <c r="AU3" s="108">
        <f ca="1">IFERROR(__xludf.DUMMYFUNCTION("""COMPUTED_VALUE"""),1)</f>
        <v>1</v>
      </c>
      <c r="AV3" s="108">
        <f ca="1">IFERROR(__xludf.DUMMYFUNCTION("""COMPUTED_VALUE"""),1)</f>
        <v>1</v>
      </c>
      <c r="AW3" s="108"/>
      <c r="AX3" s="108"/>
      <c r="AY3" s="108"/>
      <c r="AZ3" s="108"/>
      <c r="BA3" s="108">
        <f ca="1">IFERROR(__xludf.DUMMYFUNCTION("""COMPUTED_VALUE"""),75)</f>
        <v>75</v>
      </c>
      <c r="BB3" s="108">
        <f ca="1">IFERROR(__xludf.DUMMYFUNCTION("""COMPUTED_VALUE"""),75)</f>
        <v>75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</row>
    <row r="5" spans="1:67" ht="12.75">
      <c r="A5" s="638"/>
      <c r="B5" s="109" t="s">
        <v>21</v>
      </c>
      <c r="C5" s="110" t="s">
        <v>22</v>
      </c>
    </row>
    <row r="6" spans="1:67" ht="12.75">
      <c r="A6" s="111" t="s">
        <v>23</v>
      </c>
      <c r="B6" s="112"/>
      <c r="C6" s="11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</row>
    <row r="8" spans="1:67" ht="12.75">
      <c r="A8" s="114" t="s">
        <v>25</v>
      </c>
      <c r="B8" s="115"/>
      <c r="C8" s="116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</row>
    <row r="10" spans="1:67" ht="12.75">
      <c r="A10" s="114" t="s">
        <v>27</v>
      </c>
      <c r="B10" s="115">
        <f t="shared" ref="B10:C10" ca="1" si="2">SUM(M:M)</f>
        <v>0</v>
      </c>
      <c r="C10" s="116">
        <f t="shared" ca="1" si="2"/>
        <v>0</v>
      </c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0</v>
      </c>
      <c r="C12" s="116">
        <f t="shared" ca="1" si="3"/>
        <v>0</v>
      </c>
    </row>
    <row r="13" spans="1:67" ht="12.75">
      <c r="A13" s="114" t="s">
        <v>30</v>
      </c>
      <c r="B13" s="115">
        <f t="shared" ref="B13:C13" ca="1" si="4">SUM(Q:Q)</f>
        <v>5</v>
      </c>
      <c r="C13" s="116">
        <f t="shared" ca="1" si="4"/>
        <v>5</v>
      </c>
    </row>
    <row r="14" spans="1:67" ht="12.75">
      <c r="A14" s="114" t="s">
        <v>31</v>
      </c>
      <c r="B14" s="115">
        <f t="shared" ref="B14:C14" ca="1" si="5">SUM(S:S)</f>
        <v>2</v>
      </c>
      <c r="C14" s="116">
        <f t="shared" ca="1" si="5"/>
        <v>2</v>
      </c>
    </row>
    <row r="15" spans="1:67" ht="12.75">
      <c r="A15" s="117" t="s">
        <v>32</v>
      </c>
      <c r="B15" s="118">
        <f t="shared" ref="B15:C15" ca="1" si="6">SUM(B6:B14)</f>
        <v>7</v>
      </c>
      <c r="C15" s="119">
        <f t="shared" ca="1" si="6"/>
        <v>7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0</v>
      </c>
      <c r="C17" s="116">
        <f t="shared" ca="1" si="7"/>
        <v>0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1</v>
      </c>
      <c r="C20" s="116">
        <f t="shared" ca="1" si="10"/>
        <v>1</v>
      </c>
    </row>
    <row r="21" spans="1:3" ht="12.75">
      <c r="A21" s="114" t="s">
        <v>38</v>
      </c>
      <c r="B21" s="115">
        <f t="shared" ref="B21:C21" ca="1" si="11">SUM(AC:AC)</f>
        <v>8</v>
      </c>
      <c r="C21" s="116">
        <f t="shared" ca="1" si="11"/>
        <v>8</v>
      </c>
    </row>
    <row r="22" spans="1:3" ht="12.75">
      <c r="A22" s="114" t="s">
        <v>39</v>
      </c>
      <c r="B22" s="115">
        <f t="shared" ref="B22:C22" ca="1" si="12">SUM(AE:AE)</f>
        <v>3</v>
      </c>
      <c r="C22" s="116">
        <f t="shared" ca="1" si="12"/>
        <v>3</v>
      </c>
    </row>
    <row r="23" spans="1:3" ht="12.75">
      <c r="A23" s="114" t="s">
        <v>40</v>
      </c>
      <c r="B23" s="115">
        <f t="shared" ref="B23:C23" ca="1" si="13">SUM(AG:AG)</f>
        <v>4</v>
      </c>
      <c r="C23" s="116">
        <f t="shared" ca="1" si="13"/>
        <v>4</v>
      </c>
    </row>
    <row r="24" spans="1:3" ht="12.75">
      <c r="A24" s="117" t="s">
        <v>32</v>
      </c>
      <c r="B24" s="118">
        <f t="shared" ref="B24:C24" ca="1" si="14">SUM(B17:B23)</f>
        <v>16</v>
      </c>
      <c r="C24" s="119">
        <f t="shared" ca="1" si="14"/>
        <v>16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0</v>
      </c>
      <c r="C27" s="116">
        <f t="shared" ca="1" si="16"/>
        <v>0</v>
      </c>
    </row>
    <row r="28" spans="1:3" ht="12.75">
      <c r="A28" s="114" t="s">
        <v>44</v>
      </c>
      <c r="B28" s="115">
        <f t="shared" ref="B28:C28" ca="1" si="17">SUM(AM:AM)</f>
        <v>33</v>
      </c>
      <c r="C28" s="116">
        <f t="shared" ca="1" si="17"/>
        <v>33</v>
      </c>
    </row>
    <row r="29" spans="1:3" ht="12.75">
      <c r="A29" s="117" t="s">
        <v>32</v>
      </c>
      <c r="B29" s="118">
        <f t="shared" ref="B29:C29" ca="1" si="18">SUM(B26:B28)</f>
        <v>33</v>
      </c>
      <c r="C29" s="119">
        <f t="shared" ca="1" si="18"/>
        <v>33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1</v>
      </c>
      <c r="C32" s="116">
        <f t="shared" ca="1" si="20"/>
        <v>1</v>
      </c>
    </row>
    <row r="33" spans="1:67" ht="12.75">
      <c r="A33" s="114" t="s">
        <v>48</v>
      </c>
      <c r="B33" s="115">
        <f t="shared" ref="B33:C33" ca="1" si="21">SUM(AS:AS)</f>
        <v>1</v>
      </c>
      <c r="C33" s="116">
        <f t="shared" ca="1" si="21"/>
        <v>1</v>
      </c>
    </row>
    <row r="34" spans="1:67" ht="12.75">
      <c r="A34" s="114" t="s">
        <v>49</v>
      </c>
      <c r="B34" s="115">
        <f t="shared" ref="B34:C34" ca="1" si="22">SUM(AU:AU)</f>
        <v>1</v>
      </c>
      <c r="C34" s="116">
        <f t="shared" ca="1" si="22"/>
        <v>1</v>
      </c>
    </row>
    <row r="35" spans="1:67" ht="12.75">
      <c r="A35" s="114" t="s">
        <v>50</v>
      </c>
      <c r="B35" s="115">
        <f t="shared" ref="B35:C35" ca="1" si="23">SUM(AW:AW)</f>
        <v>0</v>
      </c>
      <c r="C35" s="116">
        <f t="shared" ca="1" si="23"/>
        <v>0</v>
      </c>
    </row>
    <row r="36" spans="1:67" ht="12.75">
      <c r="A36" s="117" t="s">
        <v>32</v>
      </c>
      <c r="B36" s="118">
        <f t="shared" ref="B36:C36" ca="1" si="24">SUM(B31:B35)</f>
        <v>3</v>
      </c>
      <c r="C36" s="119">
        <f t="shared" ca="1" si="24"/>
        <v>3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75</v>
      </c>
      <c r="C38" s="124">
        <f t="shared" ca="1" si="26"/>
        <v>75</v>
      </c>
    </row>
    <row r="39" spans="1:67" ht="15">
      <c r="A39" s="126" t="s">
        <v>20</v>
      </c>
      <c r="B39" s="127">
        <f t="shared" ref="B39:C39" ca="1" si="27">SUM(B15,B24,B29,B36,B37,B38)</f>
        <v>134</v>
      </c>
      <c r="C39" s="128">
        <f t="shared" ca="1" si="27"/>
        <v>134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/>
      <c r="C2" s="102" t="s">
        <v>72</v>
      </c>
      <c r="D2" s="103" t="str">
        <f ca="1">IFERROR(__xludf.DUMMYFUNCTION("QUERY('Form Responses 1'!A:BE,""select * where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9</v>
      </c>
      <c r="B3" s="105" t="s">
        <v>73</v>
      </c>
      <c r="C3" s="106" t="s">
        <v>73</v>
      </c>
      <c r="D3" s="107">
        <f ca="1">IFERROR(__xludf.DUMMYFUNCTION("""COMPUTED_VALUE"""),44463.5895311111)</f>
        <v>44463.589531111102</v>
      </c>
      <c r="E3" s="103" t="str">
        <f ca="1">IFERROR(__xludf.DUMMYFUNCTION("""COMPUTED_VALUE"""),"p1@rtp.com")</f>
        <v>p1@rtp.com</v>
      </c>
      <c r="F3" s="108" t="str">
        <f ca="1">IFERROR(__xludf.DUMMYFUNCTION("""COMPUTED_VALUE"""),"rtp2021")</f>
        <v>rtp2021</v>
      </c>
      <c r="G3" s="103"/>
      <c r="H3" s="108" t="str">
        <f ca="1">IFERROR(__xludf.DUMMYFUNCTION("""COMPUTED_VALUE"""),"ภ.1")</f>
        <v>ภ.1</v>
      </c>
      <c r="I3" s="108">
        <f ca="1">IFERROR(__xludf.DUMMYFUNCTION("""COMPUTED_VALUE"""),0)</f>
        <v>0</v>
      </c>
      <c r="J3" s="108">
        <f ca="1">IFERROR(__xludf.DUMMYFUNCTION("""COMPUTED_VALUE"""),0)</f>
        <v>0</v>
      </c>
      <c r="K3" s="108"/>
      <c r="L3" s="108"/>
      <c r="M3" s="108">
        <f ca="1">IFERROR(__xludf.DUMMYFUNCTION("""COMPUTED_VALUE"""),6)</f>
        <v>6</v>
      </c>
      <c r="N3" s="108">
        <f ca="1">IFERROR(__xludf.DUMMYFUNCTION("""COMPUTED_VALUE"""),6)</f>
        <v>6</v>
      </c>
      <c r="O3" s="108"/>
      <c r="P3" s="108"/>
      <c r="Q3" s="108">
        <f ca="1">IFERROR(__xludf.DUMMYFUNCTION("""COMPUTED_VALUE"""),12)</f>
        <v>12</v>
      </c>
      <c r="R3" s="108">
        <f ca="1">IFERROR(__xludf.DUMMYFUNCTION("""COMPUTED_VALUE"""),12)</f>
        <v>12</v>
      </c>
      <c r="S3" s="108">
        <f ca="1">IFERROR(__xludf.DUMMYFUNCTION("""COMPUTED_VALUE"""),1)</f>
        <v>1</v>
      </c>
      <c r="T3" s="108">
        <f ca="1">IFERROR(__xludf.DUMMYFUNCTION("""COMPUTED_VALUE"""),1)</f>
        <v>1</v>
      </c>
      <c r="U3" s="108">
        <f ca="1">IFERROR(__xludf.DUMMYFUNCTION("""COMPUTED_VALUE"""),2)</f>
        <v>2</v>
      </c>
      <c r="V3" s="108">
        <f ca="1">IFERROR(__xludf.DUMMYFUNCTION("""COMPUTED_VALUE"""),2)</f>
        <v>2</v>
      </c>
      <c r="W3" s="108"/>
      <c r="X3" s="108"/>
      <c r="Y3" s="108"/>
      <c r="Z3" s="108"/>
      <c r="AA3" s="108">
        <f ca="1">IFERROR(__xludf.DUMMYFUNCTION("""COMPUTED_VALUE"""),4)</f>
        <v>4</v>
      </c>
      <c r="AB3" s="108">
        <f ca="1">IFERROR(__xludf.DUMMYFUNCTION("""COMPUTED_VALUE"""),4)</f>
        <v>4</v>
      </c>
      <c r="AC3" s="108">
        <f ca="1">IFERROR(__xludf.DUMMYFUNCTION("""COMPUTED_VALUE"""),22)</f>
        <v>22</v>
      </c>
      <c r="AD3" s="108">
        <f ca="1">IFERROR(__xludf.DUMMYFUNCTION("""COMPUTED_VALUE"""),23)</f>
        <v>23</v>
      </c>
      <c r="AE3" s="108">
        <f ca="1">IFERROR(__xludf.DUMMYFUNCTION("""COMPUTED_VALUE"""),28)</f>
        <v>28</v>
      </c>
      <c r="AF3" s="108">
        <f ca="1">IFERROR(__xludf.DUMMYFUNCTION("""COMPUTED_VALUE"""),28)</f>
        <v>28</v>
      </c>
      <c r="AG3" s="108">
        <f ca="1">IFERROR(__xludf.DUMMYFUNCTION("""COMPUTED_VALUE"""),34)</f>
        <v>34</v>
      </c>
      <c r="AH3" s="108">
        <f ca="1">IFERROR(__xludf.DUMMYFUNCTION("""COMPUTED_VALUE"""),34)</f>
        <v>34</v>
      </c>
      <c r="AI3" s="108"/>
      <c r="AJ3" s="108"/>
      <c r="AK3" s="108"/>
      <c r="AL3" s="108"/>
      <c r="AM3" s="108">
        <f ca="1">IFERROR(__xludf.DUMMYFUNCTION("""COMPUTED_VALUE"""),1)</f>
        <v>1</v>
      </c>
      <c r="AN3" s="108">
        <f ca="1">IFERROR(__xludf.DUMMYFUNCTION("""COMPUTED_VALUE"""),1)</f>
        <v>1</v>
      </c>
      <c r="AO3" s="108"/>
      <c r="AP3" s="108"/>
      <c r="AQ3" s="108">
        <f ca="1">IFERROR(__xludf.DUMMYFUNCTION("""COMPUTED_VALUE"""),7)</f>
        <v>7</v>
      </c>
      <c r="AR3" s="108">
        <f ca="1">IFERROR(__xludf.DUMMYFUNCTION("""COMPUTED_VALUE"""),7)</f>
        <v>7</v>
      </c>
      <c r="AS3" s="108"/>
      <c r="AT3" s="108"/>
      <c r="AU3" s="108">
        <f ca="1">IFERROR(__xludf.DUMMYFUNCTION("""COMPUTED_VALUE"""),1)</f>
        <v>1</v>
      </c>
      <c r="AV3" s="108">
        <f ca="1">IFERROR(__xludf.DUMMYFUNCTION("""COMPUTED_VALUE"""),1)</f>
        <v>1</v>
      </c>
      <c r="AW3" s="108"/>
      <c r="AX3" s="108"/>
      <c r="AY3" s="108">
        <f ca="1">IFERROR(__xludf.DUMMYFUNCTION("""COMPUTED_VALUE"""),0)</f>
        <v>0</v>
      </c>
      <c r="AZ3" s="108">
        <f ca="1">IFERROR(__xludf.DUMMYFUNCTION("""COMPUTED_VALUE"""),0)</f>
        <v>0</v>
      </c>
      <c r="BA3" s="108">
        <f ca="1">IFERROR(__xludf.DUMMYFUNCTION("""COMPUTED_VALUE"""),45)</f>
        <v>45</v>
      </c>
      <c r="BB3" s="108">
        <f ca="1">IFERROR(__xludf.DUMMYFUNCTION("""COMPUTED_VALUE"""),31)</f>
        <v>31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  <c r="D4" s="107">
        <f ca="1">IFERROR(__xludf.DUMMYFUNCTION("""COMPUTED_VALUE"""),44464.3333333333)</f>
        <v>44464.333333333299</v>
      </c>
      <c r="E4" s="103" t="str">
        <f ca="1">IFERROR(__xludf.DUMMYFUNCTION("""COMPUTED_VALUE"""),"p1@rtp.com")</f>
        <v>p1@rtp.com</v>
      </c>
      <c r="F4" s="103" t="str">
        <f ca="1">IFERROR(__xludf.DUMMYFUNCTION("""COMPUTED_VALUE"""),"rtp2021")</f>
        <v>rtp2021</v>
      </c>
      <c r="G4" s="103"/>
      <c r="H4" s="103" t="str">
        <f ca="1">IFERROR(__xludf.DUMMYFUNCTION("""COMPUTED_VALUE"""),"ภ.1")</f>
        <v>ภ.1</v>
      </c>
      <c r="I4" s="103">
        <f ca="1">IFERROR(__xludf.DUMMYFUNCTION("""COMPUTED_VALUE"""),0)</f>
        <v>0</v>
      </c>
      <c r="J4" s="103">
        <f ca="1">IFERROR(__xludf.DUMMYFUNCTION("""COMPUTED_VALUE"""),0)</f>
        <v>0</v>
      </c>
      <c r="K4" s="103"/>
      <c r="L4" s="103"/>
      <c r="M4" s="103">
        <f ca="1">IFERROR(__xludf.DUMMYFUNCTION("""COMPUTED_VALUE"""),7)</f>
        <v>7</v>
      </c>
      <c r="N4" s="103">
        <f ca="1">IFERROR(__xludf.DUMMYFUNCTION("""COMPUTED_VALUE"""),7)</f>
        <v>7</v>
      </c>
      <c r="O4" s="103"/>
      <c r="P4" s="103"/>
      <c r="Q4" s="103">
        <f ca="1">IFERROR(__xludf.DUMMYFUNCTION("""COMPUTED_VALUE"""),5)</f>
        <v>5</v>
      </c>
      <c r="R4" s="103">
        <f ca="1">IFERROR(__xludf.DUMMYFUNCTION("""COMPUTED_VALUE"""),5)</f>
        <v>5</v>
      </c>
      <c r="S4" s="103">
        <f ca="1">IFERROR(__xludf.DUMMYFUNCTION("""COMPUTED_VALUE"""),4)</f>
        <v>4</v>
      </c>
      <c r="T4" s="103">
        <f ca="1">IFERROR(__xludf.DUMMYFUNCTION("""COMPUTED_VALUE"""),19)</f>
        <v>19</v>
      </c>
      <c r="U4" s="103">
        <f ca="1">IFERROR(__xludf.DUMMYFUNCTION("""COMPUTED_VALUE"""),2)</f>
        <v>2</v>
      </c>
      <c r="V4" s="103">
        <f ca="1">IFERROR(__xludf.DUMMYFUNCTION("""COMPUTED_VALUE"""),2)</f>
        <v>2</v>
      </c>
      <c r="W4" s="103"/>
      <c r="X4" s="103"/>
      <c r="Y4" s="103"/>
      <c r="Z4" s="103"/>
      <c r="AA4" s="103">
        <f ca="1">IFERROR(__xludf.DUMMYFUNCTION("""COMPUTED_VALUE"""),3)</f>
        <v>3</v>
      </c>
      <c r="AB4" s="103">
        <f ca="1">IFERROR(__xludf.DUMMYFUNCTION("""COMPUTED_VALUE"""),5)</f>
        <v>5</v>
      </c>
      <c r="AC4" s="103">
        <f ca="1">IFERROR(__xludf.DUMMYFUNCTION("""COMPUTED_VALUE"""),36)</f>
        <v>36</v>
      </c>
      <c r="AD4" s="103">
        <f ca="1">IFERROR(__xludf.DUMMYFUNCTION("""COMPUTED_VALUE"""),36)</f>
        <v>36</v>
      </c>
      <c r="AE4" s="103">
        <f ca="1">IFERROR(__xludf.DUMMYFUNCTION("""COMPUTED_VALUE"""),21)</f>
        <v>21</v>
      </c>
      <c r="AF4" s="103">
        <f ca="1">IFERROR(__xludf.DUMMYFUNCTION("""COMPUTED_VALUE"""),21)</f>
        <v>21</v>
      </c>
      <c r="AG4" s="103">
        <f ca="1">IFERROR(__xludf.DUMMYFUNCTION("""COMPUTED_VALUE"""),25)</f>
        <v>25</v>
      </c>
      <c r="AH4" s="103">
        <f ca="1">IFERROR(__xludf.DUMMYFUNCTION("""COMPUTED_VALUE"""),25)</f>
        <v>25</v>
      </c>
      <c r="AI4" s="103"/>
      <c r="AJ4" s="103"/>
      <c r="AK4" s="103"/>
      <c r="AL4" s="103"/>
      <c r="AM4" s="103">
        <f ca="1">IFERROR(__xludf.DUMMYFUNCTION("""COMPUTED_VALUE"""),16)</f>
        <v>16</v>
      </c>
      <c r="AN4" s="103">
        <f ca="1">IFERROR(__xludf.DUMMYFUNCTION("""COMPUTED_VALUE"""),16)</f>
        <v>16</v>
      </c>
      <c r="AO4" s="103"/>
      <c r="AP4" s="103"/>
      <c r="AQ4" s="103">
        <f ca="1">IFERROR(__xludf.DUMMYFUNCTION("""COMPUTED_VALUE"""),6)</f>
        <v>6</v>
      </c>
      <c r="AR4" s="103">
        <f ca="1">IFERROR(__xludf.DUMMYFUNCTION("""COMPUTED_VALUE"""),6)</f>
        <v>6</v>
      </c>
      <c r="AS4" s="103">
        <f ca="1">IFERROR(__xludf.DUMMYFUNCTION("""COMPUTED_VALUE"""),14)</f>
        <v>14</v>
      </c>
      <c r="AT4" s="103">
        <f ca="1">IFERROR(__xludf.DUMMYFUNCTION("""COMPUTED_VALUE"""),14)</f>
        <v>14</v>
      </c>
      <c r="AU4" s="103">
        <f ca="1">IFERROR(__xludf.DUMMYFUNCTION("""COMPUTED_VALUE"""),2)</f>
        <v>2</v>
      </c>
      <c r="AV4" s="103">
        <f ca="1">IFERROR(__xludf.DUMMYFUNCTION("""COMPUTED_VALUE"""),2)</f>
        <v>2</v>
      </c>
      <c r="AW4" s="103">
        <f ca="1">IFERROR(__xludf.DUMMYFUNCTION("""COMPUTED_VALUE"""),1)</f>
        <v>1</v>
      </c>
      <c r="AX4" s="103">
        <f ca="1">IFERROR(__xludf.DUMMYFUNCTION("""COMPUTED_VALUE"""),1)</f>
        <v>1</v>
      </c>
      <c r="AY4" s="103">
        <f ca="1">IFERROR(__xludf.DUMMYFUNCTION("""COMPUTED_VALUE"""),1)</f>
        <v>1</v>
      </c>
      <c r="AZ4" s="103">
        <f ca="1">IFERROR(__xludf.DUMMYFUNCTION("""COMPUTED_VALUE"""),1)</f>
        <v>1</v>
      </c>
      <c r="BA4" s="103">
        <f ca="1">IFERROR(__xludf.DUMMYFUNCTION("""COMPUTED_VALUE"""),82)</f>
        <v>82</v>
      </c>
      <c r="BB4" s="103">
        <f ca="1">IFERROR(__xludf.DUMMYFUNCTION("""COMPUTED_VALUE"""),64)</f>
        <v>64</v>
      </c>
      <c r="BC4" s="103"/>
      <c r="BD4" s="103"/>
      <c r="BE4" s="103"/>
      <c r="BF4" s="103"/>
      <c r="BG4" s="103"/>
      <c r="BH4" s="103"/>
    </row>
    <row r="5" spans="1:67" ht="12.75">
      <c r="A5" s="638"/>
      <c r="B5" s="109" t="s">
        <v>21</v>
      </c>
      <c r="C5" s="110" t="s">
        <v>22</v>
      </c>
      <c r="D5" s="107">
        <f ca="1">IFERROR(__xludf.DUMMYFUNCTION("""COMPUTED_VALUE"""),44465.3258948611)</f>
        <v>44465.325894861096</v>
      </c>
      <c r="E5" s="103" t="str">
        <f ca="1">IFERROR(__xludf.DUMMYFUNCTION("""COMPUTED_VALUE"""),"p1@rtp.com")</f>
        <v>p1@rtp.com</v>
      </c>
      <c r="F5" s="103" t="str">
        <f ca="1">IFERROR(__xludf.DUMMYFUNCTION("""COMPUTED_VALUE"""),"rtp2021")</f>
        <v>rtp2021</v>
      </c>
      <c r="G5" s="103"/>
      <c r="H5" s="103" t="str">
        <f ca="1">IFERROR(__xludf.DUMMYFUNCTION("""COMPUTED_VALUE"""),"ภ.1")</f>
        <v>ภ.1</v>
      </c>
      <c r="I5" s="103"/>
      <c r="J5" s="103"/>
      <c r="K5" s="103"/>
      <c r="L5" s="103"/>
      <c r="M5" s="103"/>
      <c r="N5" s="103"/>
      <c r="O5" s="103"/>
      <c r="P5" s="103"/>
      <c r="Q5" s="103">
        <f ca="1">IFERROR(__xludf.DUMMYFUNCTION("""COMPUTED_VALUE"""),7)</f>
        <v>7</v>
      </c>
      <c r="R5" s="103">
        <f ca="1">IFERROR(__xludf.DUMMYFUNCTION("""COMPUTED_VALUE"""),9)</f>
        <v>9</v>
      </c>
      <c r="S5" s="103">
        <f ca="1">IFERROR(__xludf.DUMMYFUNCTION("""COMPUTED_VALUE"""),1)</f>
        <v>1</v>
      </c>
      <c r="T5" s="103">
        <f ca="1">IFERROR(__xludf.DUMMYFUNCTION("""COMPUTED_VALUE"""),6)</f>
        <v>6</v>
      </c>
      <c r="U5" s="103">
        <f ca="1">IFERROR(__xludf.DUMMYFUNCTION("""COMPUTED_VALUE"""),5)</f>
        <v>5</v>
      </c>
      <c r="V5" s="103">
        <f ca="1">IFERROR(__xludf.DUMMYFUNCTION("""COMPUTED_VALUE"""),5)</f>
        <v>5</v>
      </c>
      <c r="W5" s="103"/>
      <c r="X5" s="103"/>
      <c r="Y5" s="103"/>
      <c r="Z5" s="103"/>
      <c r="AA5" s="103"/>
      <c r="AB5" s="103"/>
      <c r="AC5" s="103">
        <f ca="1">IFERROR(__xludf.DUMMYFUNCTION("""COMPUTED_VALUE"""),12)</f>
        <v>12</v>
      </c>
      <c r="AD5" s="103">
        <f ca="1">IFERROR(__xludf.DUMMYFUNCTION("""COMPUTED_VALUE"""),12)</f>
        <v>12</v>
      </c>
      <c r="AE5" s="103">
        <f ca="1">IFERROR(__xludf.DUMMYFUNCTION("""COMPUTED_VALUE"""),11)</f>
        <v>11</v>
      </c>
      <c r="AF5" s="103">
        <f ca="1">IFERROR(__xludf.DUMMYFUNCTION("""COMPUTED_VALUE"""),11)</f>
        <v>11</v>
      </c>
      <c r="AG5" s="103">
        <f ca="1">IFERROR(__xludf.DUMMYFUNCTION("""COMPUTED_VALUE"""),23)</f>
        <v>23</v>
      </c>
      <c r="AH5" s="103">
        <f ca="1">IFERROR(__xludf.DUMMYFUNCTION("""COMPUTED_VALUE"""),23)</f>
        <v>23</v>
      </c>
      <c r="AI5" s="103"/>
      <c r="AJ5" s="103"/>
      <c r="AK5" s="103"/>
      <c r="AL5" s="103"/>
      <c r="AM5" s="103">
        <f ca="1">IFERROR(__xludf.DUMMYFUNCTION("""COMPUTED_VALUE"""),1)</f>
        <v>1</v>
      </c>
      <c r="AN5" s="103">
        <f ca="1">IFERROR(__xludf.DUMMYFUNCTION("""COMPUTED_VALUE"""),1)</f>
        <v>1</v>
      </c>
      <c r="AO5" s="103"/>
      <c r="AP5" s="103"/>
      <c r="AQ5" s="103">
        <f ca="1">IFERROR(__xludf.DUMMYFUNCTION("""COMPUTED_VALUE"""),5)</f>
        <v>5</v>
      </c>
      <c r="AR5" s="103">
        <f ca="1">IFERROR(__xludf.DUMMYFUNCTION("""COMPUTED_VALUE"""),5)</f>
        <v>5</v>
      </c>
      <c r="AS5" s="103">
        <f ca="1">IFERROR(__xludf.DUMMYFUNCTION("""COMPUTED_VALUE"""),5)</f>
        <v>5</v>
      </c>
      <c r="AT5" s="103">
        <f ca="1">IFERROR(__xludf.DUMMYFUNCTION("""COMPUTED_VALUE"""),5)</f>
        <v>5</v>
      </c>
      <c r="AU5" s="103"/>
      <c r="AV5" s="103"/>
      <c r="AW5" s="103"/>
      <c r="AX5" s="103"/>
      <c r="AY5" s="103"/>
      <c r="AZ5" s="103"/>
      <c r="BA5" s="103">
        <f ca="1">IFERROR(__xludf.DUMMYFUNCTION("""COMPUTED_VALUE"""),66)</f>
        <v>66</v>
      </c>
      <c r="BB5" s="103">
        <f ca="1">IFERROR(__xludf.DUMMYFUNCTION("""COMPUTED_VALUE"""),66)</f>
        <v>66</v>
      </c>
      <c r="BC5" s="103"/>
      <c r="BD5" s="103"/>
      <c r="BE5" s="103"/>
      <c r="BF5" s="103"/>
      <c r="BG5" s="103"/>
      <c r="BH5" s="103"/>
    </row>
    <row r="6" spans="1:67" ht="12.75">
      <c r="A6" s="111" t="s">
        <v>23</v>
      </c>
      <c r="B6" s="112"/>
      <c r="C6" s="113"/>
      <c r="D6" s="107">
        <f ca="1">IFERROR(__xludf.DUMMYFUNCTION("""COMPUTED_VALUE"""),44466.3254018055)</f>
        <v>44466.325401805501</v>
      </c>
      <c r="E6" s="103" t="str">
        <f ca="1">IFERROR(__xludf.DUMMYFUNCTION("""COMPUTED_VALUE"""),"p1@rtp.com")</f>
        <v>p1@rtp.com</v>
      </c>
      <c r="F6" s="103" t="str">
        <f ca="1">IFERROR(__xludf.DUMMYFUNCTION("""COMPUTED_VALUE"""),"rtp2021")</f>
        <v>rtp2021</v>
      </c>
      <c r="G6" s="103"/>
      <c r="H6" s="103" t="str">
        <f ca="1">IFERROR(__xludf.DUMMYFUNCTION("""COMPUTED_VALUE"""),"ภ.1")</f>
        <v>ภ.1</v>
      </c>
      <c r="I6" s="103"/>
      <c r="J6" s="103"/>
      <c r="K6" s="103"/>
      <c r="L6" s="103"/>
      <c r="M6" s="103">
        <f ca="1">IFERROR(__xludf.DUMMYFUNCTION("""COMPUTED_VALUE"""),11)</f>
        <v>11</v>
      </c>
      <c r="N6" s="103">
        <f ca="1">IFERROR(__xludf.DUMMYFUNCTION("""COMPUTED_VALUE"""),11)</f>
        <v>11</v>
      </c>
      <c r="O6" s="103"/>
      <c r="P6" s="103"/>
      <c r="Q6" s="103">
        <f ca="1">IFERROR(__xludf.DUMMYFUNCTION("""COMPUTED_VALUE"""),16)</f>
        <v>16</v>
      </c>
      <c r="R6" s="103">
        <f ca="1">IFERROR(__xludf.DUMMYFUNCTION("""COMPUTED_VALUE"""),16)</f>
        <v>16</v>
      </c>
      <c r="S6" s="103">
        <f ca="1">IFERROR(__xludf.DUMMYFUNCTION("""COMPUTED_VALUE"""),7)</f>
        <v>7</v>
      </c>
      <c r="T6" s="103">
        <f ca="1">IFERROR(__xludf.DUMMYFUNCTION("""COMPUTED_VALUE"""),35)</f>
        <v>35</v>
      </c>
      <c r="U6" s="103">
        <f ca="1">IFERROR(__xludf.DUMMYFUNCTION("""COMPUTED_VALUE"""),4)</f>
        <v>4</v>
      </c>
      <c r="V6" s="103">
        <f ca="1">IFERROR(__xludf.DUMMYFUNCTION("""COMPUTED_VALUE"""),4)</f>
        <v>4</v>
      </c>
      <c r="W6" s="103"/>
      <c r="X6" s="103"/>
      <c r="Y6" s="103"/>
      <c r="Z6" s="103"/>
      <c r="AA6" s="103">
        <f ca="1">IFERROR(__xludf.DUMMYFUNCTION("""COMPUTED_VALUE"""),3)</f>
        <v>3</v>
      </c>
      <c r="AB6" s="103">
        <f ca="1">IFERROR(__xludf.DUMMYFUNCTION("""COMPUTED_VALUE"""),4)</f>
        <v>4</v>
      </c>
      <c r="AC6" s="103">
        <f ca="1">IFERROR(__xludf.DUMMYFUNCTION("""COMPUTED_VALUE"""),15)</f>
        <v>15</v>
      </c>
      <c r="AD6" s="103">
        <f ca="1">IFERROR(__xludf.DUMMYFUNCTION("""COMPUTED_VALUE"""),16)</f>
        <v>16</v>
      </c>
      <c r="AE6" s="103">
        <f ca="1">IFERROR(__xludf.DUMMYFUNCTION("""COMPUTED_VALUE"""),18)</f>
        <v>18</v>
      </c>
      <c r="AF6" s="103">
        <f ca="1">IFERROR(__xludf.DUMMYFUNCTION("""COMPUTED_VALUE"""),18)</f>
        <v>18</v>
      </c>
      <c r="AG6" s="103">
        <f ca="1">IFERROR(__xludf.DUMMYFUNCTION("""COMPUTED_VALUE"""),10)</f>
        <v>10</v>
      </c>
      <c r="AH6" s="103">
        <f ca="1">IFERROR(__xludf.DUMMYFUNCTION("""COMPUTED_VALUE"""),10)</f>
        <v>10</v>
      </c>
      <c r="AI6" s="103"/>
      <c r="AJ6" s="103"/>
      <c r="AK6" s="103"/>
      <c r="AL6" s="103"/>
      <c r="AM6" s="103">
        <f ca="1">IFERROR(__xludf.DUMMYFUNCTION("""COMPUTED_VALUE"""),11)</f>
        <v>11</v>
      </c>
      <c r="AN6" s="103">
        <f ca="1">IFERROR(__xludf.DUMMYFUNCTION("""COMPUTED_VALUE"""),11)</f>
        <v>11</v>
      </c>
      <c r="AO6" s="103"/>
      <c r="AP6" s="103"/>
      <c r="AQ6" s="103">
        <f ca="1">IFERROR(__xludf.DUMMYFUNCTION("""COMPUTED_VALUE"""),17)</f>
        <v>17</v>
      </c>
      <c r="AR6" s="103">
        <f ca="1">IFERROR(__xludf.DUMMYFUNCTION("""COMPUTED_VALUE"""),17)</f>
        <v>17</v>
      </c>
      <c r="AS6" s="103">
        <f ca="1">IFERROR(__xludf.DUMMYFUNCTION("""COMPUTED_VALUE"""),18)</f>
        <v>18</v>
      </c>
      <c r="AT6" s="103">
        <f ca="1">IFERROR(__xludf.DUMMYFUNCTION("""COMPUTED_VALUE"""),18)</f>
        <v>18</v>
      </c>
      <c r="AU6" s="103"/>
      <c r="AV6" s="103"/>
      <c r="AW6" s="103">
        <f ca="1">IFERROR(__xludf.DUMMYFUNCTION("""COMPUTED_VALUE"""),2)</f>
        <v>2</v>
      </c>
      <c r="AX6" s="103">
        <f ca="1">IFERROR(__xludf.DUMMYFUNCTION("""COMPUTED_VALUE"""),2)</f>
        <v>2</v>
      </c>
      <c r="AY6" s="103"/>
      <c r="AZ6" s="103"/>
      <c r="BA6" s="103">
        <f ca="1">IFERROR(__xludf.DUMMYFUNCTION("""COMPUTED_VALUE"""),68)</f>
        <v>68</v>
      </c>
      <c r="BB6" s="103">
        <f ca="1">IFERROR(__xludf.DUMMYFUNCTION("""COMPUTED_VALUE"""),68)</f>
        <v>68</v>
      </c>
      <c r="BC6" s="103"/>
      <c r="BD6" s="103"/>
      <c r="BE6" s="103"/>
      <c r="BF6" s="103"/>
      <c r="BG6" s="103"/>
      <c r="BH6" s="10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  <c r="D7" s="107">
        <f ca="1">IFERROR(__xludf.DUMMYFUNCTION("""COMPUTED_VALUE"""),44467.3175375115)</f>
        <v>44467.317537511502</v>
      </c>
      <c r="E7" s="103" t="str">
        <f ca="1">IFERROR(__xludf.DUMMYFUNCTION("""COMPUTED_VALUE"""),"p1@rtp.com")</f>
        <v>p1@rtp.com</v>
      </c>
      <c r="F7" s="103" t="str">
        <f ca="1">IFERROR(__xludf.DUMMYFUNCTION("""COMPUTED_VALUE"""),"rtp2021")</f>
        <v>rtp2021</v>
      </c>
      <c r="G7" s="103"/>
      <c r="H7" s="103" t="str">
        <f ca="1">IFERROR(__xludf.DUMMYFUNCTION("""COMPUTED_VALUE"""),"ภ.1")</f>
        <v>ภ.1</v>
      </c>
      <c r="I7" s="103"/>
      <c r="J7" s="103"/>
      <c r="K7" s="103"/>
      <c r="L7" s="103"/>
      <c r="M7" s="103">
        <f ca="1">IFERROR(__xludf.DUMMYFUNCTION("""COMPUTED_VALUE"""),13)</f>
        <v>13</v>
      </c>
      <c r="N7" s="103">
        <f ca="1">IFERROR(__xludf.DUMMYFUNCTION("""COMPUTED_VALUE"""),13)</f>
        <v>13</v>
      </c>
      <c r="O7" s="103"/>
      <c r="P7" s="103"/>
      <c r="Q7" s="103">
        <f ca="1">IFERROR(__xludf.DUMMYFUNCTION("""COMPUTED_VALUE"""),15)</f>
        <v>15</v>
      </c>
      <c r="R7" s="103">
        <f ca="1">IFERROR(__xludf.DUMMYFUNCTION("""COMPUTED_VALUE"""),15)</f>
        <v>15</v>
      </c>
      <c r="S7" s="103">
        <f ca="1">IFERROR(__xludf.DUMMYFUNCTION("""COMPUTED_VALUE"""),11)</f>
        <v>11</v>
      </c>
      <c r="T7" s="103">
        <f ca="1">IFERROR(__xludf.DUMMYFUNCTION("""COMPUTED_VALUE"""),38)</f>
        <v>38</v>
      </c>
      <c r="U7" s="103">
        <f ca="1">IFERROR(__xludf.DUMMYFUNCTION("""COMPUTED_VALUE"""),4)</f>
        <v>4</v>
      </c>
      <c r="V7" s="103">
        <f ca="1">IFERROR(__xludf.DUMMYFUNCTION("""COMPUTED_VALUE"""),4)</f>
        <v>4</v>
      </c>
      <c r="W7" s="103"/>
      <c r="X7" s="103"/>
      <c r="Y7" s="103"/>
      <c r="Z7" s="103"/>
      <c r="AA7" s="103">
        <f ca="1">IFERROR(__xludf.DUMMYFUNCTION("""COMPUTED_VALUE"""),8)</f>
        <v>8</v>
      </c>
      <c r="AB7" s="103">
        <f ca="1">IFERROR(__xludf.DUMMYFUNCTION("""COMPUTED_VALUE"""),9)</f>
        <v>9</v>
      </c>
      <c r="AC7" s="103">
        <f ca="1">IFERROR(__xludf.DUMMYFUNCTION("""COMPUTED_VALUE"""),29)</f>
        <v>29</v>
      </c>
      <c r="AD7" s="103">
        <f ca="1">IFERROR(__xludf.DUMMYFUNCTION("""COMPUTED_VALUE"""),29)</f>
        <v>29</v>
      </c>
      <c r="AE7" s="103">
        <f ca="1">IFERROR(__xludf.DUMMYFUNCTION("""COMPUTED_VALUE"""),28)</f>
        <v>28</v>
      </c>
      <c r="AF7" s="103">
        <f ca="1">IFERROR(__xludf.DUMMYFUNCTION("""COMPUTED_VALUE"""),28)</f>
        <v>28</v>
      </c>
      <c r="AG7" s="103">
        <f ca="1">IFERROR(__xludf.DUMMYFUNCTION("""COMPUTED_VALUE"""),32)</f>
        <v>32</v>
      </c>
      <c r="AH7" s="103">
        <f ca="1">IFERROR(__xludf.DUMMYFUNCTION("""COMPUTED_VALUE"""),32)</f>
        <v>32</v>
      </c>
      <c r="AI7" s="103"/>
      <c r="AJ7" s="103"/>
      <c r="AK7" s="103"/>
      <c r="AL7" s="103"/>
      <c r="AM7" s="103">
        <f ca="1">IFERROR(__xludf.DUMMYFUNCTION("""COMPUTED_VALUE"""),18)</f>
        <v>18</v>
      </c>
      <c r="AN7" s="103">
        <f ca="1">IFERROR(__xludf.DUMMYFUNCTION("""COMPUTED_VALUE"""),19)</f>
        <v>19</v>
      </c>
      <c r="AO7" s="103"/>
      <c r="AP7" s="103"/>
      <c r="AQ7" s="103">
        <f ca="1">IFERROR(__xludf.DUMMYFUNCTION("""COMPUTED_VALUE"""),14)</f>
        <v>14</v>
      </c>
      <c r="AR7" s="103">
        <f ca="1">IFERROR(__xludf.DUMMYFUNCTION("""COMPUTED_VALUE"""),14)</f>
        <v>14</v>
      </c>
      <c r="AS7" s="103">
        <f ca="1">IFERROR(__xludf.DUMMYFUNCTION("""COMPUTED_VALUE"""),19)</f>
        <v>19</v>
      </c>
      <c r="AT7" s="103">
        <f ca="1">IFERROR(__xludf.DUMMYFUNCTION("""COMPUTED_VALUE"""),19)</f>
        <v>19</v>
      </c>
      <c r="AU7" s="103"/>
      <c r="AV7" s="103"/>
      <c r="AW7" s="103"/>
      <c r="AX7" s="103"/>
      <c r="AY7" s="103"/>
      <c r="AZ7" s="103"/>
      <c r="BA7" s="103">
        <f ca="1">IFERROR(__xludf.DUMMYFUNCTION("""COMPUTED_VALUE"""),69)</f>
        <v>69</v>
      </c>
      <c r="BB7" s="103">
        <f ca="1">IFERROR(__xludf.DUMMYFUNCTION("""COMPUTED_VALUE"""),69)</f>
        <v>69</v>
      </c>
      <c r="BC7" s="103"/>
      <c r="BD7" s="103"/>
      <c r="BE7" s="103"/>
      <c r="BF7" s="103"/>
      <c r="BG7" s="103"/>
      <c r="BH7" s="103"/>
    </row>
    <row r="8" spans="1:67" ht="12.75">
      <c r="A8" s="114" t="s">
        <v>25</v>
      </c>
      <c r="B8" s="115"/>
      <c r="C8" s="116"/>
      <c r="D8" s="107">
        <f ca="1">IFERROR(__xludf.DUMMYFUNCTION("""COMPUTED_VALUE"""),44468.319471655)</f>
        <v>44468.319471654999</v>
      </c>
      <c r="E8" s="103" t="str">
        <f ca="1">IFERROR(__xludf.DUMMYFUNCTION("""COMPUTED_VALUE"""),"p1@rtp.com")</f>
        <v>p1@rtp.com</v>
      </c>
      <c r="F8" s="103" t="str">
        <f ca="1">IFERROR(__xludf.DUMMYFUNCTION("""COMPUTED_VALUE"""),"rtp2021")</f>
        <v>rtp2021</v>
      </c>
      <c r="G8" s="103"/>
      <c r="H8" s="103" t="str">
        <f ca="1">IFERROR(__xludf.DUMMYFUNCTION("""COMPUTED_VALUE"""),"ภ.1")</f>
        <v>ภ.1</v>
      </c>
      <c r="I8" s="103"/>
      <c r="J8" s="103"/>
      <c r="K8" s="103"/>
      <c r="L8" s="103"/>
      <c r="M8" s="103">
        <f ca="1">IFERROR(__xludf.DUMMYFUNCTION("""COMPUTED_VALUE"""),16)</f>
        <v>16</v>
      </c>
      <c r="N8" s="103">
        <f ca="1">IFERROR(__xludf.DUMMYFUNCTION("""COMPUTED_VALUE"""),16)</f>
        <v>16</v>
      </c>
      <c r="O8" s="103"/>
      <c r="P8" s="103"/>
      <c r="Q8" s="103">
        <f ca="1">IFERROR(__xludf.DUMMYFUNCTION("""COMPUTED_VALUE"""),13)</f>
        <v>13</v>
      </c>
      <c r="R8" s="103">
        <f ca="1">IFERROR(__xludf.DUMMYFUNCTION("""COMPUTED_VALUE"""),13)</f>
        <v>13</v>
      </c>
      <c r="S8" s="103">
        <f ca="1">IFERROR(__xludf.DUMMYFUNCTION("""COMPUTED_VALUE"""),6)</f>
        <v>6</v>
      </c>
      <c r="T8" s="103">
        <f ca="1">IFERROR(__xludf.DUMMYFUNCTION("""COMPUTED_VALUE"""),17)</f>
        <v>17</v>
      </c>
      <c r="U8" s="103">
        <f ca="1">IFERROR(__xludf.DUMMYFUNCTION("""COMPUTED_VALUE"""),5)</f>
        <v>5</v>
      </c>
      <c r="V8" s="103">
        <f ca="1">IFERROR(__xludf.DUMMYFUNCTION("""COMPUTED_VALUE"""),5)</f>
        <v>5</v>
      </c>
      <c r="W8" s="103"/>
      <c r="X8" s="103"/>
      <c r="Y8" s="103"/>
      <c r="Z8" s="103"/>
      <c r="AA8" s="103">
        <f ca="1">IFERROR(__xludf.DUMMYFUNCTION("""COMPUTED_VALUE"""),6)</f>
        <v>6</v>
      </c>
      <c r="AB8" s="103">
        <f ca="1">IFERROR(__xludf.DUMMYFUNCTION("""COMPUTED_VALUE"""),6)</f>
        <v>6</v>
      </c>
      <c r="AC8" s="103">
        <f ca="1">IFERROR(__xludf.DUMMYFUNCTION("""COMPUTED_VALUE"""),28)</f>
        <v>28</v>
      </c>
      <c r="AD8" s="103">
        <f ca="1">IFERROR(__xludf.DUMMYFUNCTION("""COMPUTED_VALUE"""),29)</f>
        <v>29</v>
      </c>
      <c r="AE8" s="103">
        <f ca="1">IFERROR(__xludf.DUMMYFUNCTION("""COMPUTED_VALUE"""),27)</f>
        <v>27</v>
      </c>
      <c r="AF8" s="103">
        <f ca="1">IFERROR(__xludf.DUMMYFUNCTION("""COMPUTED_VALUE"""),27)</f>
        <v>27</v>
      </c>
      <c r="AG8" s="103">
        <f ca="1">IFERROR(__xludf.DUMMYFUNCTION("""COMPUTED_VALUE"""),26)</f>
        <v>26</v>
      </c>
      <c r="AH8" s="103">
        <f ca="1">IFERROR(__xludf.DUMMYFUNCTION("""COMPUTED_VALUE"""),26)</f>
        <v>26</v>
      </c>
      <c r="AI8" s="103"/>
      <c r="AJ8" s="103"/>
      <c r="AK8" s="103"/>
      <c r="AL8" s="103"/>
      <c r="AM8" s="103">
        <f ca="1">IFERROR(__xludf.DUMMYFUNCTION("""COMPUTED_VALUE"""),19)</f>
        <v>19</v>
      </c>
      <c r="AN8" s="103">
        <f ca="1">IFERROR(__xludf.DUMMYFUNCTION("""COMPUTED_VALUE"""),19)</f>
        <v>19</v>
      </c>
      <c r="AO8" s="103"/>
      <c r="AP8" s="103"/>
      <c r="AQ8" s="103">
        <f ca="1">IFERROR(__xludf.DUMMYFUNCTION("""COMPUTED_VALUE"""),9)</f>
        <v>9</v>
      </c>
      <c r="AR8" s="103">
        <f ca="1">IFERROR(__xludf.DUMMYFUNCTION("""COMPUTED_VALUE"""),9)</f>
        <v>9</v>
      </c>
      <c r="AS8" s="103">
        <f ca="1">IFERROR(__xludf.DUMMYFUNCTION("""COMPUTED_VALUE"""),15)</f>
        <v>15</v>
      </c>
      <c r="AT8" s="103">
        <f ca="1">IFERROR(__xludf.DUMMYFUNCTION("""COMPUTED_VALUE"""),16)</f>
        <v>16</v>
      </c>
      <c r="AU8" s="103"/>
      <c r="AV8" s="103"/>
      <c r="AW8" s="103">
        <f ca="1">IFERROR(__xludf.DUMMYFUNCTION("""COMPUTED_VALUE"""),1)</f>
        <v>1</v>
      </c>
      <c r="AX8" s="103">
        <f ca="1">IFERROR(__xludf.DUMMYFUNCTION("""COMPUTED_VALUE"""),1)</f>
        <v>1</v>
      </c>
      <c r="AY8" s="103"/>
      <c r="AZ8" s="103"/>
      <c r="BA8" s="103">
        <f ca="1">IFERROR(__xludf.DUMMYFUNCTION("""COMPUTED_VALUE"""),85)</f>
        <v>85</v>
      </c>
      <c r="BB8" s="103">
        <f ca="1">IFERROR(__xludf.DUMMYFUNCTION("""COMPUTED_VALUE"""),85)</f>
        <v>85</v>
      </c>
      <c r="BC8" s="103"/>
      <c r="BD8" s="103"/>
      <c r="BE8" s="103"/>
      <c r="BF8" s="103"/>
      <c r="BG8" s="103"/>
      <c r="BH8" s="103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  <c r="D9" s="107">
        <f ca="1">IFERROR(__xludf.DUMMYFUNCTION("""COMPUTED_VALUE"""),44469.3258085185)</f>
        <v>44469.325808518501</v>
      </c>
      <c r="E9" s="103" t="str">
        <f ca="1">IFERROR(__xludf.DUMMYFUNCTION("""COMPUTED_VALUE"""),"p1@rtp.com")</f>
        <v>p1@rtp.com</v>
      </c>
      <c r="F9" s="103" t="str">
        <f ca="1">IFERROR(__xludf.DUMMYFUNCTION("""COMPUTED_VALUE"""),"rtp2021")</f>
        <v>rtp2021</v>
      </c>
      <c r="G9" s="103"/>
      <c r="H9" s="103" t="str">
        <f ca="1">IFERROR(__xludf.DUMMYFUNCTION("""COMPUTED_VALUE"""),"ภ.1")</f>
        <v>ภ.1</v>
      </c>
      <c r="I9" s="103">
        <f ca="1">IFERROR(__xludf.DUMMYFUNCTION("""COMPUTED_VALUE"""),0)</f>
        <v>0</v>
      </c>
      <c r="J9" s="103">
        <f ca="1">IFERROR(__xludf.DUMMYFUNCTION("""COMPUTED_VALUE"""),0)</f>
        <v>0</v>
      </c>
      <c r="K9" s="103"/>
      <c r="L9" s="103"/>
      <c r="M9" s="103">
        <f ca="1">IFERROR(__xludf.DUMMYFUNCTION("""COMPUTED_VALUE"""),21)</f>
        <v>21</v>
      </c>
      <c r="N9" s="103">
        <f ca="1">IFERROR(__xludf.DUMMYFUNCTION("""COMPUTED_VALUE"""),21)</f>
        <v>21</v>
      </c>
      <c r="O9" s="103">
        <f ca="1">IFERROR(__xludf.DUMMYFUNCTION("""COMPUTED_VALUE"""),0)</f>
        <v>0</v>
      </c>
      <c r="P9" s="103">
        <f ca="1">IFERROR(__xludf.DUMMYFUNCTION("""COMPUTED_VALUE"""),0)</f>
        <v>0</v>
      </c>
      <c r="Q9" s="103">
        <f ca="1">IFERROR(__xludf.DUMMYFUNCTION("""COMPUTED_VALUE"""),15)</f>
        <v>15</v>
      </c>
      <c r="R9" s="103">
        <f ca="1">IFERROR(__xludf.DUMMYFUNCTION("""COMPUTED_VALUE"""),15)</f>
        <v>15</v>
      </c>
      <c r="S9" s="103">
        <f ca="1">IFERROR(__xludf.DUMMYFUNCTION("""COMPUTED_VALUE"""),5)</f>
        <v>5</v>
      </c>
      <c r="T9" s="103">
        <f ca="1">IFERROR(__xludf.DUMMYFUNCTION("""COMPUTED_VALUE"""),12)</f>
        <v>12</v>
      </c>
      <c r="U9" s="103">
        <f ca="1">IFERROR(__xludf.DUMMYFUNCTION("""COMPUTED_VALUE"""),5)</f>
        <v>5</v>
      </c>
      <c r="V9" s="103">
        <f ca="1">IFERROR(__xludf.DUMMYFUNCTION("""COMPUTED_VALUE"""),5)</f>
        <v>5</v>
      </c>
      <c r="W9" s="103">
        <f ca="1">IFERROR(__xludf.DUMMYFUNCTION("""COMPUTED_VALUE"""),0)</f>
        <v>0</v>
      </c>
      <c r="X9" s="103">
        <f ca="1">IFERROR(__xludf.DUMMYFUNCTION("""COMPUTED_VALUE"""),0)</f>
        <v>0</v>
      </c>
      <c r="Y9" s="103">
        <f ca="1">IFERROR(__xludf.DUMMYFUNCTION("""COMPUTED_VALUE"""),0)</f>
        <v>0</v>
      </c>
      <c r="Z9" s="103">
        <f ca="1">IFERROR(__xludf.DUMMYFUNCTION("""COMPUTED_VALUE"""),0)</f>
        <v>0</v>
      </c>
      <c r="AA9" s="103">
        <f ca="1">IFERROR(__xludf.DUMMYFUNCTION("""COMPUTED_VALUE"""),2)</f>
        <v>2</v>
      </c>
      <c r="AB9" s="103">
        <f ca="1">IFERROR(__xludf.DUMMYFUNCTION("""COMPUTED_VALUE"""),3)</f>
        <v>3</v>
      </c>
      <c r="AC9" s="103">
        <f ca="1">IFERROR(__xludf.DUMMYFUNCTION("""COMPUTED_VALUE"""),30)</f>
        <v>30</v>
      </c>
      <c r="AD9" s="103">
        <f ca="1">IFERROR(__xludf.DUMMYFUNCTION("""COMPUTED_VALUE"""),33)</f>
        <v>33</v>
      </c>
      <c r="AE9" s="103">
        <f ca="1">IFERROR(__xludf.DUMMYFUNCTION("""COMPUTED_VALUE"""),23)</f>
        <v>23</v>
      </c>
      <c r="AF9" s="103">
        <f ca="1">IFERROR(__xludf.DUMMYFUNCTION("""COMPUTED_VALUE"""),23)</f>
        <v>23</v>
      </c>
      <c r="AG9" s="103">
        <f ca="1">IFERROR(__xludf.DUMMYFUNCTION("""COMPUTED_VALUE"""),38)</f>
        <v>38</v>
      </c>
      <c r="AH9" s="103">
        <f ca="1">IFERROR(__xludf.DUMMYFUNCTION("""COMPUTED_VALUE"""),38)</f>
        <v>38</v>
      </c>
      <c r="AI9" s="103">
        <f ca="1">IFERROR(__xludf.DUMMYFUNCTION("""COMPUTED_VALUE"""),0)</f>
        <v>0</v>
      </c>
      <c r="AJ9" s="103">
        <f ca="1">IFERROR(__xludf.DUMMYFUNCTION("""COMPUTED_VALUE"""),0)</f>
        <v>0</v>
      </c>
      <c r="AK9" s="103">
        <f ca="1">IFERROR(__xludf.DUMMYFUNCTION("""COMPUTED_VALUE"""),0)</f>
        <v>0</v>
      </c>
      <c r="AL9" s="103">
        <f ca="1">IFERROR(__xludf.DUMMYFUNCTION("""COMPUTED_VALUE"""),0)</f>
        <v>0</v>
      </c>
      <c r="AM9" s="103">
        <f ca="1">IFERROR(__xludf.DUMMYFUNCTION("""COMPUTED_VALUE"""),17)</f>
        <v>17</v>
      </c>
      <c r="AN9" s="103">
        <f ca="1">IFERROR(__xludf.DUMMYFUNCTION("""COMPUTED_VALUE"""),17)</f>
        <v>17</v>
      </c>
      <c r="AO9" s="103">
        <f ca="1">IFERROR(__xludf.DUMMYFUNCTION("""COMPUTED_VALUE"""),0)</f>
        <v>0</v>
      </c>
      <c r="AP9" s="103">
        <f ca="1">IFERROR(__xludf.DUMMYFUNCTION("""COMPUTED_VALUE"""),0)</f>
        <v>0</v>
      </c>
      <c r="AQ9" s="103">
        <f ca="1">IFERROR(__xludf.DUMMYFUNCTION("""COMPUTED_VALUE"""),9)</f>
        <v>9</v>
      </c>
      <c r="AR9" s="103">
        <f ca="1">IFERROR(__xludf.DUMMYFUNCTION("""COMPUTED_VALUE"""),9)</f>
        <v>9</v>
      </c>
      <c r="AS9" s="103">
        <f ca="1">IFERROR(__xludf.DUMMYFUNCTION("""COMPUTED_VALUE"""),15)</f>
        <v>15</v>
      </c>
      <c r="AT9" s="103">
        <f ca="1">IFERROR(__xludf.DUMMYFUNCTION("""COMPUTED_VALUE"""),15)</f>
        <v>15</v>
      </c>
      <c r="AU9" s="103">
        <f ca="1">IFERROR(__xludf.DUMMYFUNCTION("""COMPUTED_VALUE"""),1)</f>
        <v>1</v>
      </c>
      <c r="AV9" s="103">
        <f ca="1">IFERROR(__xludf.DUMMYFUNCTION("""COMPUTED_VALUE"""),1)</f>
        <v>1</v>
      </c>
      <c r="AW9" s="103">
        <f ca="1">IFERROR(__xludf.DUMMYFUNCTION("""COMPUTED_VALUE"""),4)</f>
        <v>4</v>
      </c>
      <c r="AX9" s="103">
        <f ca="1">IFERROR(__xludf.DUMMYFUNCTION("""COMPUTED_VALUE"""),4)</f>
        <v>4</v>
      </c>
      <c r="AY9" s="103">
        <f ca="1">IFERROR(__xludf.DUMMYFUNCTION("""COMPUTED_VALUE"""),1)</f>
        <v>1</v>
      </c>
      <c r="AZ9" s="103">
        <f ca="1">IFERROR(__xludf.DUMMYFUNCTION("""COMPUTED_VALUE"""),1)</f>
        <v>1</v>
      </c>
      <c r="BA9" s="103">
        <f ca="1">IFERROR(__xludf.DUMMYFUNCTION("""COMPUTED_VALUE"""),119)</f>
        <v>119</v>
      </c>
      <c r="BB9" s="103">
        <f ca="1">IFERROR(__xludf.DUMMYFUNCTION("""COMPUTED_VALUE"""),94)</f>
        <v>94</v>
      </c>
      <c r="BC9" s="103"/>
      <c r="BD9" s="103"/>
      <c r="BE9" s="103"/>
      <c r="BF9" s="103"/>
      <c r="BG9" s="103"/>
      <c r="BH9" s="103"/>
    </row>
    <row r="10" spans="1:67" ht="12.75">
      <c r="A10" s="114" t="s">
        <v>27</v>
      </c>
      <c r="B10" s="115">
        <f t="shared" ref="B10:C10" ca="1" si="2">SUM(M:M)</f>
        <v>86</v>
      </c>
      <c r="C10" s="116">
        <f t="shared" ca="1" si="2"/>
        <v>87</v>
      </c>
      <c r="D10" s="107">
        <f ca="1">IFERROR(__xludf.DUMMYFUNCTION("""COMPUTED_VALUE"""),44470.3317595949)</f>
        <v>44470.331759594897</v>
      </c>
      <c r="E10" s="103" t="str">
        <f ca="1">IFERROR(__xludf.DUMMYFUNCTION("""COMPUTED_VALUE"""),"p1@rtp.com")</f>
        <v>p1@rtp.com</v>
      </c>
      <c r="F10" s="103" t="str">
        <f ca="1">IFERROR(__xludf.DUMMYFUNCTION("""COMPUTED_VALUE"""),"rtp2021")</f>
        <v>rtp2021</v>
      </c>
      <c r="G10" s="103"/>
      <c r="H10" s="103" t="str">
        <f ca="1">IFERROR(__xludf.DUMMYFUNCTION("""COMPUTED_VALUE"""),"ภ.1")</f>
        <v>ภ.1</v>
      </c>
      <c r="I10" s="103"/>
      <c r="J10" s="103"/>
      <c r="K10" s="103"/>
      <c r="L10" s="103"/>
      <c r="M10" s="103">
        <f ca="1">IFERROR(__xludf.DUMMYFUNCTION("""COMPUTED_VALUE"""),12)</f>
        <v>12</v>
      </c>
      <c r="N10" s="103">
        <f ca="1">IFERROR(__xludf.DUMMYFUNCTION("""COMPUTED_VALUE"""),13)</f>
        <v>13</v>
      </c>
      <c r="O10" s="103"/>
      <c r="P10" s="103"/>
      <c r="Q10" s="103">
        <f ca="1">IFERROR(__xludf.DUMMYFUNCTION("""COMPUTED_VALUE"""),10)</f>
        <v>10</v>
      </c>
      <c r="R10" s="103">
        <f ca="1">IFERROR(__xludf.DUMMYFUNCTION("""COMPUTED_VALUE"""),14)</f>
        <v>14</v>
      </c>
      <c r="S10" s="103">
        <f ca="1">IFERROR(__xludf.DUMMYFUNCTION("""COMPUTED_VALUE"""),7)</f>
        <v>7</v>
      </c>
      <c r="T10" s="103">
        <f ca="1">IFERROR(__xludf.DUMMYFUNCTION("""COMPUTED_VALUE"""),28)</f>
        <v>28</v>
      </c>
      <c r="U10" s="103">
        <f ca="1">IFERROR(__xludf.DUMMYFUNCTION("""COMPUTED_VALUE"""),3)</f>
        <v>3</v>
      </c>
      <c r="V10" s="103">
        <f ca="1">IFERROR(__xludf.DUMMYFUNCTION("""COMPUTED_VALUE"""),3)</f>
        <v>3</v>
      </c>
      <c r="W10" s="103"/>
      <c r="X10" s="103"/>
      <c r="Y10" s="103"/>
      <c r="Z10" s="103"/>
      <c r="AA10" s="103"/>
      <c r="AB10" s="103"/>
      <c r="AC10" s="103">
        <f ca="1">IFERROR(__xludf.DUMMYFUNCTION("""COMPUTED_VALUE"""),18)</f>
        <v>18</v>
      </c>
      <c r="AD10" s="103">
        <f ca="1">IFERROR(__xludf.DUMMYFUNCTION("""COMPUTED_VALUE"""),20)</f>
        <v>20</v>
      </c>
      <c r="AE10" s="103">
        <f ca="1">IFERROR(__xludf.DUMMYFUNCTION("""COMPUTED_VALUE"""),18)</f>
        <v>18</v>
      </c>
      <c r="AF10" s="103">
        <f ca="1">IFERROR(__xludf.DUMMYFUNCTION("""COMPUTED_VALUE"""),18)</f>
        <v>18</v>
      </c>
      <c r="AG10" s="103">
        <f ca="1">IFERROR(__xludf.DUMMYFUNCTION("""COMPUTED_VALUE"""),27)</f>
        <v>27</v>
      </c>
      <c r="AH10" s="103">
        <f ca="1">IFERROR(__xludf.DUMMYFUNCTION("""COMPUTED_VALUE"""),27)</f>
        <v>27</v>
      </c>
      <c r="AI10" s="103"/>
      <c r="AJ10" s="103"/>
      <c r="AK10" s="103"/>
      <c r="AL10" s="103"/>
      <c r="AM10" s="103">
        <f ca="1">IFERROR(__xludf.DUMMYFUNCTION("""COMPUTED_VALUE"""),7)</f>
        <v>7</v>
      </c>
      <c r="AN10" s="103">
        <f ca="1">IFERROR(__xludf.DUMMYFUNCTION("""COMPUTED_VALUE"""),7)</f>
        <v>7</v>
      </c>
      <c r="AO10" s="103"/>
      <c r="AP10" s="103"/>
      <c r="AQ10" s="103">
        <f ca="1">IFERROR(__xludf.DUMMYFUNCTION("""COMPUTED_VALUE"""),6)</f>
        <v>6</v>
      </c>
      <c r="AR10" s="103">
        <f ca="1">IFERROR(__xludf.DUMMYFUNCTION("""COMPUTED_VALUE"""),6)</f>
        <v>6</v>
      </c>
      <c r="AS10" s="103">
        <f ca="1">IFERROR(__xludf.DUMMYFUNCTION("""COMPUTED_VALUE"""),6)</f>
        <v>6</v>
      </c>
      <c r="AT10" s="103">
        <f ca="1">IFERROR(__xludf.DUMMYFUNCTION("""COMPUTED_VALUE"""),6)</f>
        <v>6</v>
      </c>
      <c r="AU10" s="103"/>
      <c r="AV10" s="103"/>
      <c r="AW10" s="103">
        <f ca="1">IFERROR(__xludf.DUMMYFUNCTION("""COMPUTED_VALUE"""),2)</f>
        <v>2</v>
      </c>
      <c r="AX10" s="103">
        <f ca="1">IFERROR(__xludf.DUMMYFUNCTION("""COMPUTED_VALUE"""),2)</f>
        <v>2</v>
      </c>
      <c r="AY10" s="103"/>
      <c r="AZ10" s="103"/>
      <c r="BA10" s="103">
        <f ca="1">IFERROR(__xludf.DUMMYFUNCTION("""COMPUTED_VALUE"""),106)</f>
        <v>106</v>
      </c>
      <c r="BB10" s="103">
        <f ca="1">IFERROR(__xludf.DUMMYFUNCTION("""COMPUTED_VALUE"""),101)</f>
        <v>101</v>
      </c>
      <c r="BC10" s="103"/>
      <c r="BD10" s="103"/>
      <c r="BE10" s="103"/>
      <c r="BF10" s="103"/>
      <c r="BG10" s="103"/>
      <c r="BH10" s="103"/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0</v>
      </c>
      <c r="C12" s="116">
        <f t="shared" ca="1" si="3"/>
        <v>0</v>
      </c>
    </row>
    <row r="13" spans="1:67" ht="12.75">
      <c r="A13" s="114" t="s">
        <v>30</v>
      </c>
      <c r="B13" s="115">
        <f t="shared" ref="B13:C13" ca="1" si="4">SUM(Q:Q)</f>
        <v>93</v>
      </c>
      <c r="C13" s="116">
        <f t="shared" ca="1" si="4"/>
        <v>99</v>
      </c>
    </row>
    <row r="14" spans="1:67" ht="12.75">
      <c r="A14" s="114" t="s">
        <v>31</v>
      </c>
      <c r="B14" s="115">
        <f t="shared" ref="B14:C14" ca="1" si="5">SUM(S:S)</f>
        <v>42</v>
      </c>
      <c r="C14" s="116">
        <f t="shared" ca="1" si="5"/>
        <v>156</v>
      </c>
    </row>
    <row r="15" spans="1:67" ht="12.75">
      <c r="A15" s="117" t="s">
        <v>32</v>
      </c>
      <c r="B15" s="118">
        <f t="shared" ref="B15:C15" ca="1" si="6">SUM(B6:B14)</f>
        <v>221</v>
      </c>
      <c r="C15" s="119">
        <f t="shared" ca="1" si="6"/>
        <v>342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30</v>
      </c>
      <c r="C17" s="116">
        <f t="shared" ca="1" si="7"/>
        <v>30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26</v>
      </c>
      <c r="C20" s="116">
        <f t="shared" ca="1" si="10"/>
        <v>31</v>
      </c>
    </row>
    <row r="21" spans="1:3" ht="12.75">
      <c r="A21" s="114" t="s">
        <v>38</v>
      </c>
      <c r="B21" s="115">
        <f t="shared" ref="B21:C21" ca="1" si="11">SUM(AC:AC)</f>
        <v>190</v>
      </c>
      <c r="C21" s="116">
        <f t="shared" ca="1" si="11"/>
        <v>198</v>
      </c>
    </row>
    <row r="22" spans="1:3" ht="12.75">
      <c r="A22" s="114" t="s">
        <v>39</v>
      </c>
      <c r="B22" s="115">
        <f t="shared" ref="B22:C22" ca="1" si="12">SUM(AE:AE)</f>
        <v>174</v>
      </c>
      <c r="C22" s="116">
        <f t="shared" ca="1" si="12"/>
        <v>174</v>
      </c>
    </row>
    <row r="23" spans="1:3" ht="12.75">
      <c r="A23" s="114" t="s">
        <v>40</v>
      </c>
      <c r="B23" s="115">
        <f t="shared" ref="B23:C23" ca="1" si="13">SUM(AG:AG)</f>
        <v>215</v>
      </c>
      <c r="C23" s="116">
        <f t="shared" ca="1" si="13"/>
        <v>215</v>
      </c>
    </row>
    <row r="24" spans="1:3" ht="12.75">
      <c r="A24" s="117" t="s">
        <v>32</v>
      </c>
      <c r="B24" s="118">
        <f t="shared" ref="B24:C24" ca="1" si="14">SUM(B17:B23)</f>
        <v>635</v>
      </c>
      <c r="C24" s="119">
        <f t="shared" ca="1" si="14"/>
        <v>648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0</v>
      </c>
      <c r="C27" s="116">
        <f t="shared" ca="1" si="16"/>
        <v>0</v>
      </c>
    </row>
    <row r="28" spans="1:3" ht="12.75">
      <c r="A28" s="114" t="s">
        <v>44</v>
      </c>
      <c r="B28" s="115">
        <f t="shared" ref="B28:C28" ca="1" si="17">SUM(AM:AM)</f>
        <v>90</v>
      </c>
      <c r="C28" s="116">
        <f t="shared" ca="1" si="17"/>
        <v>91</v>
      </c>
    </row>
    <row r="29" spans="1:3" ht="12.75">
      <c r="A29" s="117" t="s">
        <v>32</v>
      </c>
      <c r="B29" s="118">
        <f t="shared" ref="B29:C29" ca="1" si="18">SUM(B26:B28)</f>
        <v>90</v>
      </c>
      <c r="C29" s="119">
        <f t="shared" ca="1" si="18"/>
        <v>91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73</v>
      </c>
      <c r="C32" s="116">
        <f t="shared" ca="1" si="20"/>
        <v>73</v>
      </c>
    </row>
    <row r="33" spans="1:67" ht="12.75">
      <c r="A33" s="114" t="s">
        <v>48</v>
      </c>
      <c r="B33" s="115">
        <f t="shared" ref="B33:C33" ca="1" si="21">SUM(AS:AS)</f>
        <v>92</v>
      </c>
      <c r="C33" s="116">
        <f t="shared" ca="1" si="21"/>
        <v>93</v>
      </c>
    </row>
    <row r="34" spans="1:67" ht="12.75">
      <c r="A34" s="114" t="s">
        <v>49</v>
      </c>
      <c r="B34" s="115">
        <f t="shared" ref="B34:C34" ca="1" si="22">SUM(AU:AU)</f>
        <v>4</v>
      </c>
      <c r="C34" s="116">
        <f t="shared" ca="1" si="22"/>
        <v>4</v>
      </c>
    </row>
    <row r="35" spans="1:67" ht="12.75">
      <c r="A35" s="114" t="s">
        <v>50</v>
      </c>
      <c r="B35" s="115">
        <f t="shared" ref="B35:C35" ca="1" si="23">SUM(AW:AW)</f>
        <v>10</v>
      </c>
      <c r="C35" s="116">
        <f t="shared" ca="1" si="23"/>
        <v>10</v>
      </c>
    </row>
    <row r="36" spans="1:67" ht="12.75">
      <c r="A36" s="117" t="s">
        <v>32</v>
      </c>
      <c r="B36" s="118">
        <f t="shared" ref="B36:C36" ca="1" si="24">SUM(B31:B35)</f>
        <v>179</v>
      </c>
      <c r="C36" s="119">
        <f t="shared" ca="1" si="24"/>
        <v>180</v>
      </c>
    </row>
    <row r="37" spans="1:67" ht="12.75">
      <c r="A37" s="122" t="s">
        <v>51</v>
      </c>
      <c r="B37" s="123">
        <f t="shared" ref="B37:C37" ca="1" si="25">SUM(AY:AY)</f>
        <v>2</v>
      </c>
      <c r="C37" s="124">
        <f t="shared" ca="1" si="25"/>
        <v>2</v>
      </c>
    </row>
    <row r="38" spans="1:67" ht="12.75">
      <c r="A38" s="125" t="s">
        <v>52</v>
      </c>
      <c r="B38" s="123">
        <f t="shared" ref="B38:C38" ca="1" si="26">SUM(BA:BA)</f>
        <v>640</v>
      </c>
      <c r="C38" s="124">
        <f t="shared" ca="1" si="26"/>
        <v>578</v>
      </c>
    </row>
    <row r="39" spans="1:67" ht="15">
      <c r="A39" s="126" t="s">
        <v>20</v>
      </c>
      <c r="B39" s="127">
        <f t="shared" ref="B39:C39" ca="1" si="27">SUM(B15,B24,B29,B36,B37,B38)</f>
        <v>1767</v>
      </c>
      <c r="C39" s="128">
        <f t="shared" ca="1" si="27"/>
        <v>1841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/>
      <c r="C2" s="102" t="s">
        <v>72</v>
      </c>
      <c r="D2" s="103" t="str">
        <f ca="1">IFERROR(__xludf.DUMMYFUNCTION("QUERY('Form Responses 1'!A:BE,""select * where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4</v>
      </c>
      <c r="B3" s="105" t="s">
        <v>73</v>
      </c>
      <c r="C3" s="106" t="s">
        <v>73</v>
      </c>
      <c r="D3" s="107">
        <f ca="1">IFERROR(__xludf.DUMMYFUNCTION("""COMPUTED_VALUE"""),44463.3428661342)</f>
        <v>44463.342866134197</v>
      </c>
      <c r="E3" s="103" t="str">
        <f ca="1">IFERROR(__xludf.DUMMYFUNCTION("""COMPUTED_VALUE"""),"p2@rtp.com")</f>
        <v>p2@rtp.com</v>
      </c>
      <c r="F3" s="108" t="str">
        <f ca="1">IFERROR(__xludf.DUMMYFUNCTION("""COMPUTED_VALUE"""),"rtp2021")</f>
        <v>rtp2021</v>
      </c>
      <c r="G3" s="103"/>
      <c r="H3" s="108" t="str">
        <f ca="1">IFERROR(__xludf.DUMMYFUNCTION("""COMPUTED_VALUE"""),"ภ.2")</f>
        <v>ภ.2</v>
      </c>
      <c r="I3" s="108">
        <f ca="1">IFERROR(__xludf.DUMMYFUNCTION("""COMPUTED_VALUE"""),0)</f>
        <v>0</v>
      </c>
      <c r="J3" s="108">
        <f ca="1">IFERROR(__xludf.DUMMYFUNCTION("""COMPUTED_VALUE"""),0)</f>
        <v>0</v>
      </c>
      <c r="K3" s="108"/>
      <c r="L3" s="108"/>
      <c r="M3" s="108">
        <f ca="1">IFERROR(__xludf.DUMMYFUNCTION("""COMPUTED_VALUE"""),7)</f>
        <v>7</v>
      </c>
      <c r="N3" s="108">
        <f ca="1">IFERROR(__xludf.DUMMYFUNCTION("""COMPUTED_VALUE"""),7)</f>
        <v>7</v>
      </c>
      <c r="O3" s="108"/>
      <c r="P3" s="108"/>
      <c r="Q3" s="108"/>
      <c r="R3" s="108"/>
      <c r="S3" s="108">
        <f ca="1">IFERROR(__xludf.DUMMYFUNCTION("""COMPUTED_VALUE"""),11)</f>
        <v>11</v>
      </c>
      <c r="T3" s="108">
        <f ca="1">IFERROR(__xludf.DUMMYFUNCTION("""COMPUTED_VALUE"""),13)</f>
        <v>13</v>
      </c>
      <c r="U3" s="108"/>
      <c r="V3" s="108"/>
      <c r="W3" s="108"/>
      <c r="X3" s="108"/>
      <c r="Y3" s="108"/>
      <c r="Z3" s="108"/>
      <c r="AA3" s="108"/>
      <c r="AB3" s="108"/>
      <c r="AC3" s="108">
        <f ca="1">IFERROR(__xludf.DUMMYFUNCTION("""COMPUTED_VALUE"""),5)</f>
        <v>5</v>
      </c>
      <c r="AD3" s="108">
        <f ca="1">IFERROR(__xludf.DUMMYFUNCTION("""COMPUTED_VALUE"""),6)</f>
        <v>6</v>
      </c>
      <c r="AE3" s="108">
        <f ca="1">IFERROR(__xludf.DUMMYFUNCTION("""COMPUTED_VALUE"""),12)</f>
        <v>12</v>
      </c>
      <c r="AF3" s="108">
        <f ca="1">IFERROR(__xludf.DUMMYFUNCTION("""COMPUTED_VALUE"""),12)</f>
        <v>12</v>
      </c>
      <c r="AG3" s="108">
        <f ca="1">IFERROR(__xludf.DUMMYFUNCTION("""COMPUTED_VALUE"""),32)</f>
        <v>32</v>
      </c>
      <c r="AH3" s="108">
        <f ca="1">IFERROR(__xludf.DUMMYFUNCTION("""COMPUTED_VALUE"""),32)</f>
        <v>32</v>
      </c>
      <c r="AI3" s="108"/>
      <c r="AJ3" s="108"/>
      <c r="AK3" s="108"/>
      <c r="AL3" s="108"/>
      <c r="AM3" s="108"/>
      <c r="AN3" s="108"/>
      <c r="AO3" s="108"/>
      <c r="AP3" s="108"/>
      <c r="AQ3" s="108">
        <f ca="1">IFERROR(__xludf.DUMMYFUNCTION("""COMPUTED_VALUE"""),4)</f>
        <v>4</v>
      </c>
      <c r="AR3" s="108">
        <f ca="1">IFERROR(__xludf.DUMMYFUNCTION("""COMPUTED_VALUE"""),4)</f>
        <v>4</v>
      </c>
      <c r="AS3" s="108"/>
      <c r="AT3" s="108"/>
      <c r="AU3" s="108"/>
      <c r="AV3" s="108"/>
      <c r="AW3" s="108"/>
      <c r="AX3" s="108"/>
      <c r="AY3" s="108">
        <f ca="1">IFERROR(__xludf.DUMMYFUNCTION("""COMPUTED_VALUE"""),1)</f>
        <v>1</v>
      </c>
      <c r="AZ3" s="108">
        <f ca="1">IFERROR(__xludf.DUMMYFUNCTION("""COMPUTED_VALUE"""),15)</f>
        <v>15</v>
      </c>
      <c r="BA3" s="108">
        <f ca="1">IFERROR(__xludf.DUMMYFUNCTION("""COMPUTED_VALUE"""),24)</f>
        <v>24</v>
      </c>
      <c r="BB3" s="108">
        <f ca="1">IFERROR(__xludf.DUMMYFUNCTION("""COMPUTED_VALUE"""),24)</f>
        <v>24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  <c r="D4" s="107">
        <f ca="1">IFERROR(__xludf.DUMMYFUNCTION("""COMPUTED_VALUE"""),44464.3038538888)</f>
        <v>44464.303853888799</v>
      </c>
      <c r="E4" s="103" t="str">
        <f ca="1">IFERROR(__xludf.DUMMYFUNCTION("""COMPUTED_VALUE"""),"p2@rtp.com")</f>
        <v>p2@rtp.com</v>
      </c>
      <c r="F4" s="103" t="str">
        <f ca="1">IFERROR(__xludf.DUMMYFUNCTION("""COMPUTED_VALUE"""),"rtp2021")</f>
        <v>rtp2021</v>
      </c>
      <c r="G4" s="103"/>
      <c r="H4" s="103" t="str">
        <f ca="1">IFERROR(__xludf.DUMMYFUNCTION("""COMPUTED_VALUE"""),"ภ.2")</f>
        <v>ภ.2</v>
      </c>
      <c r="I4" s="103"/>
      <c r="J4" s="103"/>
      <c r="K4" s="103"/>
      <c r="L4" s="103"/>
      <c r="M4" s="103">
        <f ca="1">IFERROR(__xludf.DUMMYFUNCTION("""COMPUTED_VALUE"""),18)</f>
        <v>18</v>
      </c>
      <c r="N4" s="103">
        <f ca="1">IFERROR(__xludf.DUMMYFUNCTION("""COMPUTED_VALUE"""),18)</f>
        <v>18</v>
      </c>
      <c r="O4" s="103"/>
      <c r="P4" s="103"/>
      <c r="Q4" s="103">
        <f ca="1">IFERROR(__xludf.DUMMYFUNCTION("""COMPUTED_VALUE"""),1)</f>
        <v>1</v>
      </c>
      <c r="R4" s="103">
        <f ca="1">IFERROR(__xludf.DUMMYFUNCTION("""COMPUTED_VALUE"""),1)</f>
        <v>1</v>
      </c>
      <c r="S4" s="103">
        <f ca="1">IFERROR(__xludf.DUMMYFUNCTION("""COMPUTED_VALUE"""),11)</f>
        <v>11</v>
      </c>
      <c r="T4" s="103">
        <f ca="1">IFERROR(__xludf.DUMMYFUNCTION("""COMPUTED_VALUE"""),27)</f>
        <v>27</v>
      </c>
      <c r="U4" s="103">
        <f ca="1">IFERROR(__xludf.DUMMYFUNCTION("""COMPUTED_VALUE"""),3)</f>
        <v>3</v>
      </c>
      <c r="V4" s="103">
        <f ca="1">IFERROR(__xludf.DUMMYFUNCTION("""COMPUTED_VALUE"""),3)</f>
        <v>3</v>
      </c>
      <c r="W4" s="103"/>
      <c r="X4" s="103"/>
      <c r="Y4" s="103"/>
      <c r="Z4" s="103"/>
      <c r="AA4" s="103">
        <f ca="1">IFERROR(__xludf.DUMMYFUNCTION("""COMPUTED_VALUE"""),4)</f>
        <v>4</v>
      </c>
      <c r="AB4" s="103">
        <f ca="1">IFERROR(__xludf.DUMMYFUNCTION("""COMPUTED_VALUE"""),4)</f>
        <v>4</v>
      </c>
      <c r="AC4" s="103">
        <f ca="1">IFERROR(__xludf.DUMMYFUNCTION("""COMPUTED_VALUE"""),7)</f>
        <v>7</v>
      </c>
      <c r="AD4" s="103">
        <f ca="1">IFERROR(__xludf.DUMMYFUNCTION("""COMPUTED_VALUE"""),8)</f>
        <v>8</v>
      </c>
      <c r="AE4" s="103">
        <f ca="1">IFERROR(__xludf.DUMMYFUNCTION("""COMPUTED_VALUE"""),18)</f>
        <v>18</v>
      </c>
      <c r="AF4" s="103">
        <f ca="1">IFERROR(__xludf.DUMMYFUNCTION("""COMPUTED_VALUE"""),19)</f>
        <v>19</v>
      </c>
      <c r="AG4" s="103">
        <f ca="1">IFERROR(__xludf.DUMMYFUNCTION("""COMPUTED_VALUE"""),53)</f>
        <v>53</v>
      </c>
      <c r="AH4" s="103">
        <f ca="1">IFERROR(__xludf.DUMMYFUNCTION("""COMPUTED_VALUE"""),53)</f>
        <v>53</v>
      </c>
      <c r="AI4" s="103"/>
      <c r="AJ4" s="103"/>
      <c r="AK4" s="103"/>
      <c r="AL4" s="103"/>
      <c r="AM4" s="103">
        <f ca="1">IFERROR(__xludf.DUMMYFUNCTION("""COMPUTED_VALUE"""),9)</f>
        <v>9</v>
      </c>
      <c r="AN4" s="103">
        <f ca="1">IFERROR(__xludf.DUMMYFUNCTION("""COMPUTED_VALUE"""),9)</f>
        <v>9</v>
      </c>
      <c r="AO4" s="103"/>
      <c r="AP4" s="103"/>
      <c r="AQ4" s="103">
        <f ca="1">IFERROR(__xludf.DUMMYFUNCTION("""COMPUTED_VALUE"""),5)</f>
        <v>5</v>
      </c>
      <c r="AR4" s="103">
        <f ca="1">IFERROR(__xludf.DUMMYFUNCTION("""COMPUTED_VALUE"""),5)</f>
        <v>5</v>
      </c>
      <c r="AS4" s="103">
        <f ca="1">IFERROR(__xludf.DUMMYFUNCTION("""COMPUTED_VALUE"""),1)</f>
        <v>1</v>
      </c>
      <c r="AT4" s="103">
        <f ca="1">IFERROR(__xludf.DUMMYFUNCTION("""COMPUTED_VALUE"""),1)</f>
        <v>1</v>
      </c>
      <c r="AU4" s="103"/>
      <c r="AV4" s="103"/>
      <c r="AW4" s="103">
        <f ca="1">IFERROR(__xludf.DUMMYFUNCTION("""COMPUTED_VALUE"""),2)</f>
        <v>2</v>
      </c>
      <c r="AX4" s="103">
        <f ca="1">IFERROR(__xludf.DUMMYFUNCTION("""COMPUTED_VALUE"""),2)</f>
        <v>2</v>
      </c>
      <c r="AY4" s="103">
        <f ca="1">IFERROR(__xludf.DUMMYFUNCTION("""COMPUTED_VALUE"""),1)</f>
        <v>1</v>
      </c>
      <c r="AZ4" s="103">
        <f ca="1">IFERROR(__xludf.DUMMYFUNCTION("""COMPUTED_VALUE"""),10)</f>
        <v>10</v>
      </c>
      <c r="BA4" s="103">
        <f ca="1">IFERROR(__xludf.DUMMYFUNCTION("""COMPUTED_VALUE"""),61)</f>
        <v>61</v>
      </c>
      <c r="BB4" s="103">
        <f ca="1">IFERROR(__xludf.DUMMYFUNCTION("""COMPUTED_VALUE"""),61)</f>
        <v>61</v>
      </c>
      <c r="BC4" s="103"/>
      <c r="BD4" s="103"/>
      <c r="BE4" s="103"/>
      <c r="BF4" s="103"/>
      <c r="BG4" s="103"/>
      <c r="BH4" s="103"/>
    </row>
    <row r="5" spans="1:67" ht="12.75">
      <c r="A5" s="638"/>
      <c r="B5" s="109" t="s">
        <v>21</v>
      </c>
      <c r="C5" s="110" t="s">
        <v>22</v>
      </c>
      <c r="D5" s="107">
        <f ca="1">IFERROR(__xludf.DUMMYFUNCTION("""COMPUTED_VALUE"""),44465.3140994212)</f>
        <v>44465.314099421201</v>
      </c>
      <c r="E5" s="103" t="str">
        <f ca="1">IFERROR(__xludf.DUMMYFUNCTION("""COMPUTED_VALUE"""),"p2@rtp.com")</f>
        <v>p2@rtp.com</v>
      </c>
      <c r="F5" s="103" t="str">
        <f ca="1">IFERROR(__xludf.DUMMYFUNCTION("""COMPUTED_VALUE"""),"rtp2021")</f>
        <v>rtp2021</v>
      </c>
      <c r="G5" s="103"/>
      <c r="H5" s="103" t="str">
        <f ca="1">IFERROR(__xludf.DUMMYFUNCTION("""COMPUTED_VALUE"""),"ภ.2")</f>
        <v>ภ.2</v>
      </c>
      <c r="I5" s="103"/>
      <c r="J5" s="103"/>
      <c r="K5" s="103"/>
      <c r="L5" s="103"/>
      <c r="M5" s="103">
        <f ca="1">IFERROR(__xludf.DUMMYFUNCTION("""COMPUTED_VALUE"""),11)</f>
        <v>11</v>
      </c>
      <c r="N5" s="103">
        <f ca="1">IFERROR(__xludf.DUMMYFUNCTION("""COMPUTED_VALUE"""),11)</f>
        <v>11</v>
      </c>
      <c r="O5" s="103"/>
      <c r="P5" s="103"/>
      <c r="Q5" s="103">
        <f ca="1">IFERROR(__xludf.DUMMYFUNCTION("""COMPUTED_VALUE"""),2)</f>
        <v>2</v>
      </c>
      <c r="R5" s="103">
        <f ca="1">IFERROR(__xludf.DUMMYFUNCTION("""COMPUTED_VALUE"""),6)</f>
        <v>6</v>
      </c>
      <c r="S5" s="103">
        <f ca="1">IFERROR(__xludf.DUMMYFUNCTION("""COMPUTED_VALUE"""),6)</f>
        <v>6</v>
      </c>
      <c r="T5" s="103">
        <f ca="1">IFERROR(__xludf.DUMMYFUNCTION("""COMPUTED_VALUE"""),18)</f>
        <v>18</v>
      </c>
      <c r="U5" s="103">
        <f ca="1">IFERROR(__xludf.DUMMYFUNCTION("""COMPUTED_VALUE"""),1)</f>
        <v>1</v>
      </c>
      <c r="V5" s="103">
        <f ca="1">IFERROR(__xludf.DUMMYFUNCTION("""COMPUTED_VALUE"""),1)</f>
        <v>1</v>
      </c>
      <c r="W5" s="103"/>
      <c r="X5" s="103"/>
      <c r="Y5" s="103"/>
      <c r="Z5" s="103"/>
      <c r="AA5" s="103">
        <f ca="1">IFERROR(__xludf.DUMMYFUNCTION("""COMPUTED_VALUE"""),2)</f>
        <v>2</v>
      </c>
      <c r="AB5" s="103">
        <f ca="1">IFERROR(__xludf.DUMMYFUNCTION("""COMPUTED_VALUE"""),2)</f>
        <v>2</v>
      </c>
      <c r="AC5" s="103">
        <f ca="1">IFERROR(__xludf.DUMMYFUNCTION("""COMPUTED_VALUE"""),17)</f>
        <v>17</v>
      </c>
      <c r="AD5" s="103">
        <f ca="1">IFERROR(__xludf.DUMMYFUNCTION("""COMPUTED_VALUE"""),17)</f>
        <v>17</v>
      </c>
      <c r="AE5" s="103">
        <f ca="1">IFERROR(__xludf.DUMMYFUNCTION("""COMPUTED_VALUE"""),12)</f>
        <v>12</v>
      </c>
      <c r="AF5" s="103">
        <f ca="1">IFERROR(__xludf.DUMMYFUNCTION("""COMPUTED_VALUE"""),12)</f>
        <v>12</v>
      </c>
      <c r="AG5" s="103">
        <f ca="1">IFERROR(__xludf.DUMMYFUNCTION("""COMPUTED_VALUE"""),61)</f>
        <v>61</v>
      </c>
      <c r="AH5" s="103">
        <f ca="1">IFERROR(__xludf.DUMMYFUNCTION("""COMPUTED_VALUE"""),61)</f>
        <v>61</v>
      </c>
      <c r="AI5" s="103"/>
      <c r="AJ5" s="103"/>
      <c r="AK5" s="103"/>
      <c r="AL5" s="103"/>
      <c r="AM5" s="103">
        <f ca="1">IFERROR(__xludf.DUMMYFUNCTION("""COMPUTED_VALUE"""),11)</f>
        <v>11</v>
      </c>
      <c r="AN5" s="103">
        <f ca="1">IFERROR(__xludf.DUMMYFUNCTION("""COMPUTED_VALUE"""),11)</f>
        <v>11</v>
      </c>
      <c r="AO5" s="103"/>
      <c r="AP5" s="103"/>
      <c r="AQ5" s="103">
        <f ca="1">IFERROR(__xludf.DUMMYFUNCTION("""COMPUTED_VALUE"""),7)</f>
        <v>7</v>
      </c>
      <c r="AR5" s="103">
        <f ca="1">IFERROR(__xludf.DUMMYFUNCTION("""COMPUTED_VALUE"""),7)</f>
        <v>7</v>
      </c>
      <c r="AS5" s="103">
        <f ca="1">IFERROR(__xludf.DUMMYFUNCTION("""COMPUTED_VALUE"""),2)</f>
        <v>2</v>
      </c>
      <c r="AT5" s="103">
        <f ca="1">IFERROR(__xludf.DUMMYFUNCTION("""COMPUTED_VALUE"""),2)</f>
        <v>2</v>
      </c>
      <c r="AU5" s="103"/>
      <c r="AV5" s="103"/>
      <c r="AW5" s="103">
        <f ca="1">IFERROR(__xludf.DUMMYFUNCTION("""COMPUTED_VALUE"""),5)</f>
        <v>5</v>
      </c>
      <c r="AX5" s="103">
        <f ca="1">IFERROR(__xludf.DUMMYFUNCTION("""COMPUTED_VALUE"""),5)</f>
        <v>5</v>
      </c>
      <c r="AY5" s="103">
        <f ca="1">IFERROR(__xludf.DUMMYFUNCTION("""COMPUTED_VALUE"""),1)</f>
        <v>1</v>
      </c>
      <c r="AZ5" s="103">
        <f ca="1">IFERROR(__xludf.DUMMYFUNCTION("""COMPUTED_VALUE"""),10)</f>
        <v>10</v>
      </c>
      <c r="BA5" s="103">
        <f ca="1">IFERROR(__xludf.DUMMYFUNCTION("""COMPUTED_VALUE"""),54)</f>
        <v>54</v>
      </c>
      <c r="BB5" s="103">
        <f ca="1">IFERROR(__xludf.DUMMYFUNCTION("""COMPUTED_VALUE"""),54)</f>
        <v>54</v>
      </c>
      <c r="BC5" s="103"/>
      <c r="BD5" s="103"/>
      <c r="BE5" s="103"/>
      <c r="BF5" s="103"/>
      <c r="BG5" s="103"/>
      <c r="BH5" s="103"/>
    </row>
    <row r="6" spans="1:67" ht="12.75">
      <c r="A6" s="111" t="s">
        <v>23</v>
      </c>
      <c r="B6" s="112"/>
      <c r="C6" s="113"/>
      <c r="D6" s="107">
        <f ca="1">IFERROR(__xludf.DUMMYFUNCTION("""COMPUTED_VALUE"""),44466.3052502662)</f>
        <v>44466.305250266203</v>
      </c>
      <c r="E6" s="103" t="str">
        <f ca="1">IFERROR(__xludf.DUMMYFUNCTION("""COMPUTED_VALUE"""),"p2@rtp.com")</f>
        <v>p2@rtp.com</v>
      </c>
      <c r="F6" s="103" t="str">
        <f ca="1">IFERROR(__xludf.DUMMYFUNCTION("""COMPUTED_VALUE"""),"rtp2021")</f>
        <v>rtp2021</v>
      </c>
      <c r="G6" s="103"/>
      <c r="H6" s="103" t="str">
        <f ca="1">IFERROR(__xludf.DUMMYFUNCTION("""COMPUTED_VALUE"""),"ภ.2")</f>
        <v>ภ.2</v>
      </c>
      <c r="I6" s="103"/>
      <c r="J6" s="103"/>
      <c r="K6" s="103"/>
      <c r="L6" s="103"/>
      <c r="M6" s="103">
        <f ca="1">IFERROR(__xludf.DUMMYFUNCTION("""COMPUTED_VALUE"""),12)</f>
        <v>12</v>
      </c>
      <c r="N6" s="103">
        <f ca="1">IFERROR(__xludf.DUMMYFUNCTION("""COMPUTED_VALUE"""),12)</f>
        <v>12</v>
      </c>
      <c r="O6" s="103"/>
      <c r="P6" s="103"/>
      <c r="Q6" s="103">
        <f ca="1">IFERROR(__xludf.DUMMYFUNCTION("""COMPUTED_VALUE"""),5)</f>
        <v>5</v>
      </c>
      <c r="R6" s="103">
        <f ca="1">IFERROR(__xludf.DUMMYFUNCTION("""COMPUTED_VALUE"""),5)</f>
        <v>5</v>
      </c>
      <c r="S6" s="103">
        <f ca="1">IFERROR(__xludf.DUMMYFUNCTION("""COMPUTED_VALUE"""),10)</f>
        <v>10</v>
      </c>
      <c r="T6" s="103">
        <f ca="1">IFERROR(__xludf.DUMMYFUNCTION("""COMPUTED_VALUE"""),28)</f>
        <v>28</v>
      </c>
      <c r="U6" s="103">
        <f ca="1">IFERROR(__xludf.DUMMYFUNCTION("""COMPUTED_VALUE"""),3)</f>
        <v>3</v>
      </c>
      <c r="V6" s="103">
        <f ca="1">IFERROR(__xludf.DUMMYFUNCTION("""COMPUTED_VALUE"""),3)</f>
        <v>3</v>
      </c>
      <c r="W6" s="103"/>
      <c r="X6" s="103"/>
      <c r="Y6" s="103"/>
      <c r="Z6" s="103"/>
      <c r="AA6" s="103"/>
      <c r="AB6" s="103"/>
      <c r="AC6" s="103">
        <f ca="1">IFERROR(__xludf.DUMMYFUNCTION("""COMPUTED_VALUE"""),13)</f>
        <v>13</v>
      </c>
      <c r="AD6" s="103">
        <f ca="1">IFERROR(__xludf.DUMMYFUNCTION("""COMPUTED_VALUE"""),13)</f>
        <v>13</v>
      </c>
      <c r="AE6" s="103">
        <f ca="1">IFERROR(__xludf.DUMMYFUNCTION("""COMPUTED_VALUE"""),15)</f>
        <v>15</v>
      </c>
      <c r="AF6" s="103">
        <f ca="1">IFERROR(__xludf.DUMMYFUNCTION("""COMPUTED_VALUE"""),15)</f>
        <v>15</v>
      </c>
      <c r="AG6" s="103">
        <f ca="1">IFERROR(__xludf.DUMMYFUNCTION("""COMPUTED_VALUE"""),56)</f>
        <v>56</v>
      </c>
      <c r="AH6" s="103">
        <f ca="1">IFERROR(__xludf.DUMMYFUNCTION("""COMPUTED_VALUE"""),56)</f>
        <v>56</v>
      </c>
      <c r="AI6" s="103">
        <f ca="1">IFERROR(__xludf.DUMMYFUNCTION("""COMPUTED_VALUE"""),1)</f>
        <v>1</v>
      </c>
      <c r="AJ6" s="103">
        <f ca="1">IFERROR(__xludf.DUMMYFUNCTION("""COMPUTED_VALUE"""),1)</f>
        <v>1</v>
      </c>
      <c r="AK6" s="103"/>
      <c r="AL6" s="103"/>
      <c r="AM6" s="103">
        <f ca="1">IFERROR(__xludf.DUMMYFUNCTION("""COMPUTED_VALUE"""),7)</f>
        <v>7</v>
      </c>
      <c r="AN6" s="103">
        <f ca="1">IFERROR(__xludf.DUMMYFUNCTION("""COMPUTED_VALUE"""),7)</f>
        <v>7</v>
      </c>
      <c r="AO6" s="103"/>
      <c r="AP6" s="103"/>
      <c r="AQ6" s="103">
        <f ca="1">IFERROR(__xludf.DUMMYFUNCTION("""COMPUTED_VALUE"""),6)</f>
        <v>6</v>
      </c>
      <c r="AR6" s="103">
        <f ca="1">IFERROR(__xludf.DUMMYFUNCTION("""COMPUTED_VALUE"""),6)</f>
        <v>6</v>
      </c>
      <c r="AS6" s="103"/>
      <c r="AT6" s="103"/>
      <c r="AU6" s="103"/>
      <c r="AV6" s="103"/>
      <c r="AW6" s="103">
        <f ca="1">IFERROR(__xludf.DUMMYFUNCTION("""COMPUTED_VALUE"""),5)</f>
        <v>5</v>
      </c>
      <c r="AX6" s="103">
        <f ca="1">IFERROR(__xludf.DUMMYFUNCTION("""COMPUTED_VALUE"""),5)</f>
        <v>5</v>
      </c>
      <c r="AY6" s="103"/>
      <c r="AZ6" s="103"/>
      <c r="BA6" s="103">
        <f ca="1">IFERROR(__xludf.DUMMYFUNCTION("""COMPUTED_VALUE"""),66)</f>
        <v>66</v>
      </c>
      <c r="BB6" s="103">
        <f ca="1">IFERROR(__xludf.DUMMYFUNCTION("""COMPUTED_VALUE"""),66)</f>
        <v>66</v>
      </c>
      <c r="BC6" s="103"/>
      <c r="BD6" s="103"/>
      <c r="BE6" s="103"/>
      <c r="BF6" s="103"/>
      <c r="BG6" s="103"/>
      <c r="BH6" s="10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  <c r="D7" s="107">
        <f ca="1">IFERROR(__xludf.DUMMYFUNCTION("""COMPUTED_VALUE"""),44467.3153496527)</f>
        <v>44467.315349652701</v>
      </c>
      <c r="E7" s="103" t="str">
        <f ca="1">IFERROR(__xludf.DUMMYFUNCTION("""COMPUTED_VALUE"""),"p2@rtp.com")</f>
        <v>p2@rtp.com</v>
      </c>
      <c r="F7" s="103" t="str">
        <f ca="1">IFERROR(__xludf.DUMMYFUNCTION("""COMPUTED_VALUE"""),"rtp2021")</f>
        <v>rtp2021</v>
      </c>
      <c r="G7" s="103"/>
      <c r="H7" s="103" t="str">
        <f ca="1">IFERROR(__xludf.DUMMYFUNCTION("""COMPUTED_VALUE"""),"ภ.2")</f>
        <v>ภ.2</v>
      </c>
      <c r="I7" s="103"/>
      <c r="J7" s="103"/>
      <c r="K7" s="103"/>
      <c r="L7" s="103"/>
      <c r="M7" s="103">
        <f ca="1">IFERROR(__xludf.DUMMYFUNCTION("""COMPUTED_VALUE"""),35)</f>
        <v>35</v>
      </c>
      <c r="N7" s="103">
        <f ca="1">IFERROR(__xludf.DUMMYFUNCTION("""COMPUTED_VALUE"""),35)</f>
        <v>35</v>
      </c>
      <c r="O7" s="103"/>
      <c r="P7" s="103"/>
      <c r="Q7" s="103">
        <f ca="1">IFERROR(__xludf.DUMMYFUNCTION("""COMPUTED_VALUE"""),4)</f>
        <v>4</v>
      </c>
      <c r="R7" s="103">
        <f ca="1">IFERROR(__xludf.DUMMYFUNCTION("""COMPUTED_VALUE"""),4)</f>
        <v>4</v>
      </c>
      <c r="S7" s="103">
        <f ca="1">IFERROR(__xludf.DUMMYFUNCTION("""COMPUTED_VALUE"""),9)</f>
        <v>9</v>
      </c>
      <c r="T7" s="103">
        <f ca="1">IFERROR(__xludf.DUMMYFUNCTION("""COMPUTED_VALUE"""),20)</f>
        <v>20</v>
      </c>
      <c r="U7" s="103">
        <f ca="1">IFERROR(__xludf.DUMMYFUNCTION("""COMPUTED_VALUE"""),9)</f>
        <v>9</v>
      </c>
      <c r="V7" s="103">
        <f ca="1">IFERROR(__xludf.DUMMYFUNCTION("""COMPUTED_VALUE"""),9)</f>
        <v>9</v>
      </c>
      <c r="W7" s="103"/>
      <c r="X7" s="103"/>
      <c r="Y7" s="103"/>
      <c r="Z7" s="103"/>
      <c r="AA7" s="103">
        <f ca="1">IFERROR(__xludf.DUMMYFUNCTION("""COMPUTED_VALUE"""),3)</f>
        <v>3</v>
      </c>
      <c r="AB7" s="103">
        <f ca="1">IFERROR(__xludf.DUMMYFUNCTION("""COMPUTED_VALUE"""),3)</f>
        <v>3</v>
      </c>
      <c r="AC7" s="103">
        <f ca="1">IFERROR(__xludf.DUMMYFUNCTION("""COMPUTED_VALUE"""),15)</f>
        <v>15</v>
      </c>
      <c r="AD7" s="103">
        <f ca="1">IFERROR(__xludf.DUMMYFUNCTION("""COMPUTED_VALUE"""),15)</f>
        <v>15</v>
      </c>
      <c r="AE7" s="103">
        <f ca="1">IFERROR(__xludf.DUMMYFUNCTION("""COMPUTED_VALUE"""),32)</f>
        <v>32</v>
      </c>
      <c r="AF7" s="103">
        <f ca="1">IFERROR(__xludf.DUMMYFUNCTION("""COMPUTED_VALUE"""),32)</f>
        <v>32</v>
      </c>
      <c r="AG7" s="103">
        <f ca="1">IFERROR(__xludf.DUMMYFUNCTION("""COMPUTED_VALUE"""),79)</f>
        <v>79</v>
      </c>
      <c r="AH7" s="103">
        <f ca="1">IFERROR(__xludf.DUMMYFUNCTION("""COMPUTED_VALUE"""),79)</f>
        <v>79</v>
      </c>
      <c r="AI7" s="103"/>
      <c r="AJ7" s="103"/>
      <c r="AK7" s="103"/>
      <c r="AL7" s="103"/>
      <c r="AM7" s="103">
        <f ca="1">IFERROR(__xludf.DUMMYFUNCTION("""COMPUTED_VALUE"""),7)</f>
        <v>7</v>
      </c>
      <c r="AN7" s="103">
        <f ca="1">IFERROR(__xludf.DUMMYFUNCTION("""COMPUTED_VALUE"""),7)</f>
        <v>7</v>
      </c>
      <c r="AO7" s="103">
        <f ca="1">IFERROR(__xludf.DUMMYFUNCTION("""COMPUTED_VALUE"""),1)</f>
        <v>1</v>
      </c>
      <c r="AP7" s="103">
        <f ca="1">IFERROR(__xludf.DUMMYFUNCTION("""COMPUTED_VALUE"""),1)</f>
        <v>1</v>
      </c>
      <c r="AQ7" s="103">
        <f ca="1">IFERROR(__xludf.DUMMYFUNCTION("""COMPUTED_VALUE"""),13)</f>
        <v>13</v>
      </c>
      <c r="AR7" s="103">
        <f ca="1">IFERROR(__xludf.DUMMYFUNCTION("""COMPUTED_VALUE"""),13)</f>
        <v>13</v>
      </c>
      <c r="AS7" s="103">
        <f ca="1">IFERROR(__xludf.DUMMYFUNCTION("""COMPUTED_VALUE"""),3)</f>
        <v>3</v>
      </c>
      <c r="AT7" s="103">
        <f ca="1">IFERROR(__xludf.DUMMYFUNCTION("""COMPUTED_VALUE"""),3)</f>
        <v>3</v>
      </c>
      <c r="AU7" s="103">
        <f ca="1">IFERROR(__xludf.DUMMYFUNCTION("""COMPUTED_VALUE"""),1)</f>
        <v>1</v>
      </c>
      <c r="AV7" s="103">
        <f ca="1">IFERROR(__xludf.DUMMYFUNCTION("""COMPUTED_VALUE"""),1)</f>
        <v>1</v>
      </c>
      <c r="AW7" s="103">
        <f ca="1">IFERROR(__xludf.DUMMYFUNCTION("""COMPUTED_VALUE"""),4)</f>
        <v>4</v>
      </c>
      <c r="AX7" s="103">
        <f ca="1">IFERROR(__xludf.DUMMYFUNCTION("""COMPUTED_VALUE"""),4)</f>
        <v>4</v>
      </c>
      <c r="AY7" s="103">
        <f ca="1">IFERROR(__xludf.DUMMYFUNCTION("""COMPUTED_VALUE"""),7)</f>
        <v>7</v>
      </c>
      <c r="AZ7" s="103">
        <f ca="1">IFERROR(__xludf.DUMMYFUNCTION("""COMPUTED_VALUE"""),7)</f>
        <v>7</v>
      </c>
      <c r="BA7" s="103">
        <f ca="1">IFERROR(__xludf.DUMMYFUNCTION("""COMPUTED_VALUE"""),100)</f>
        <v>100</v>
      </c>
      <c r="BB7" s="103">
        <f ca="1">IFERROR(__xludf.DUMMYFUNCTION("""COMPUTED_VALUE"""),100)</f>
        <v>100</v>
      </c>
      <c r="BC7" s="103"/>
      <c r="BD7" s="103"/>
      <c r="BE7" s="103"/>
      <c r="BF7" s="103"/>
      <c r="BG7" s="103"/>
      <c r="BH7" s="103"/>
    </row>
    <row r="8" spans="1:67" ht="12.75">
      <c r="A8" s="114" t="s">
        <v>25</v>
      </c>
      <c r="B8" s="115"/>
      <c r="C8" s="116"/>
      <c r="D8" s="107">
        <f ca="1">IFERROR(__xludf.DUMMYFUNCTION("""COMPUTED_VALUE"""),44468.3326856365)</f>
        <v>44468.332685636502</v>
      </c>
      <c r="E8" s="103" t="str">
        <f ca="1">IFERROR(__xludf.DUMMYFUNCTION("""COMPUTED_VALUE"""),"p2@rtp.com")</f>
        <v>p2@rtp.com</v>
      </c>
      <c r="F8" s="103" t="str">
        <f ca="1">IFERROR(__xludf.DUMMYFUNCTION("""COMPUTED_VALUE"""),"rtp2021")</f>
        <v>rtp2021</v>
      </c>
      <c r="G8" s="103"/>
      <c r="H8" s="103" t="str">
        <f ca="1">IFERROR(__xludf.DUMMYFUNCTION("""COMPUTED_VALUE"""),"ภ.2")</f>
        <v>ภ.2</v>
      </c>
      <c r="I8" s="103"/>
      <c r="J8" s="103"/>
      <c r="K8" s="103"/>
      <c r="L8" s="103"/>
      <c r="M8" s="103">
        <f ca="1">IFERROR(__xludf.DUMMYFUNCTION("""COMPUTED_VALUE"""),57)</f>
        <v>57</v>
      </c>
      <c r="N8" s="103">
        <f ca="1">IFERROR(__xludf.DUMMYFUNCTION("""COMPUTED_VALUE"""),57)</f>
        <v>57</v>
      </c>
      <c r="O8" s="103"/>
      <c r="P8" s="103"/>
      <c r="Q8" s="103">
        <f ca="1">IFERROR(__xludf.DUMMYFUNCTION("""COMPUTED_VALUE"""),1)</f>
        <v>1</v>
      </c>
      <c r="R8" s="103">
        <f ca="1">IFERROR(__xludf.DUMMYFUNCTION("""COMPUTED_VALUE"""),1)</f>
        <v>1</v>
      </c>
      <c r="S8" s="103">
        <f ca="1">IFERROR(__xludf.DUMMYFUNCTION("""COMPUTED_VALUE"""),10)</f>
        <v>10</v>
      </c>
      <c r="T8" s="103">
        <f ca="1">IFERROR(__xludf.DUMMYFUNCTION("""COMPUTED_VALUE"""),31)</f>
        <v>31</v>
      </c>
      <c r="U8" s="103">
        <f ca="1">IFERROR(__xludf.DUMMYFUNCTION("""COMPUTED_VALUE"""),4)</f>
        <v>4</v>
      </c>
      <c r="V8" s="103">
        <f ca="1">IFERROR(__xludf.DUMMYFUNCTION("""COMPUTED_VALUE"""),4)</f>
        <v>4</v>
      </c>
      <c r="W8" s="103"/>
      <c r="X8" s="103"/>
      <c r="Y8" s="103"/>
      <c r="Z8" s="103"/>
      <c r="AA8" s="103">
        <f ca="1">IFERROR(__xludf.DUMMYFUNCTION("""COMPUTED_VALUE"""),4)</f>
        <v>4</v>
      </c>
      <c r="AB8" s="103">
        <f ca="1">IFERROR(__xludf.DUMMYFUNCTION("""COMPUTED_VALUE"""),4)</f>
        <v>4</v>
      </c>
      <c r="AC8" s="103">
        <f ca="1">IFERROR(__xludf.DUMMYFUNCTION("""COMPUTED_VALUE"""),19)</f>
        <v>19</v>
      </c>
      <c r="AD8" s="103">
        <f ca="1">IFERROR(__xludf.DUMMYFUNCTION("""COMPUTED_VALUE"""),20)</f>
        <v>20</v>
      </c>
      <c r="AE8" s="103">
        <f ca="1">IFERROR(__xludf.DUMMYFUNCTION("""COMPUTED_VALUE"""),19)</f>
        <v>19</v>
      </c>
      <c r="AF8" s="103">
        <f ca="1">IFERROR(__xludf.DUMMYFUNCTION("""COMPUTED_VALUE"""),19)</f>
        <v>19</v>
      </c>
      <c r="AG8" s="103">
        <f ca="1">IFERROR(__xludf.DUMMYFUNCTION("""COMPUTED_VALUE"""),68)</f>
        <v>68</v>
      </c>
      <c r="AH8" s="103">
        <f ca="1">IFERROR(__xludf.DUMMYFUNCTION("""COMPUTED_VALUE"""),68)</f>
        <v>68</v>
      </c>
      <c r="AI8" s="103">
        <f ca="1">IFERROR(__xludf.DUMMYFUNCTION("""COMPUTED_VALUE"""),3)</f>
        <v>3</v>
      </c>
      <c r="AJ8" s="103">
        <f ca="1">IFERROR(__xludf.DUMMYFUNCTION("""COMPUTED_VALUE"""),3)</f>
        <v>3</v>
      </c>
      <c r="AK8" s="103"/>
      <c r="AL8" s="103"/>
      <c r="AM8" s="103">
        <f ca="1">IFERROR(__xludf.DUMMYFUNCTION("""COMPUTED_VALUE"""),8)</f>
        <v>8</v>
      </c>
      <c r="AN8" s="103">
        <f ca="1">IFERROR(__xludf.DUMMYFUNCTION("""COMPUTED_VALUE"""),8)</f>
        <v>8</v>
      </c>
      <c r="AO8" s="103"/>
      <c r="AP8" s="103"/>
      <c r="AQ8" s="103">
        <f ca="1">IFERROR(__xludf.DUMMYFUNCTION("""COMPUTED_VALUE"""),21)</f>
        <v>21</v>
      </c>
      <c r="AR8" s="103">
        <f ca="1">IFERROR(__xludf.DUMMYFUNCTION("""COMPUTED_VALUE"""),21)</f>
        <v>21</v>
      </c>
      <c r="AS8" s="103">
        <f ca="1">IFERROR(__xludf.DUMMYFUNCTION("""COMPUTED_VALUE"""),1)</f>
        <v>1</v>
      </c>
      <c r="AT8" s="103">
        <f ca="1">IFERROR(__xludf.DUMMYFUNCTION("""COMPUTED_VALUE"""),1)</f>
        <v>1</v>
      </c>
      <c r="AU8" s="103">
        <f ca="1">IFERROR(__xludf.DUMMYFUNCTION("""COMPUTED_VALUE"""),1)</f>
        <v>1</v>
      </c>
      <c r="AV8" s="103">
        <f ca="1">IFERROR(__xludf.DUMMYFUNCTION("""COMPUTED_VALUE"""),1)</f>
        <v>1</v>
      </c>
      <c r="AW8" s="103">
        <f ca="1">IFERROR(__xludf.DUMMYFUNCTION("""COMPUTED_VALUE"""),7)</f>
        <v>7</v>
      </c>
      <c r="AX8" s="103">
        <f ca="1">IFERROR(__xludf.DUMMYFUNCTION("""COMPUTED_VALUE"""),7)</f>
        <v>7</v>
      </c>
      <c r="AY8" s="103"/>
      <c r="AZ8" s="103"/>
      <c r="BA8" s="103">
        <f ca="1">IFERROR(__xludf.DUMMYFUNCTION("""COMPUTED_VALUE"""),80)</f>
        <v>80</v>
      </c>
      <c r="BB8" s="103">
        <f ca="1">IFERROR(__xludf.DUMMYFUNCTION("""COMPUTED_VALUE"""),80)</f>
        <v>80</v>
      </c>
      <c r="BC8" s="103"/>
      <c r="BD8" s="103"/>
      <c r="BE8" s="103"/>
      <c r="BF8" s="103"/>
      <c r="BG8" s="103"/>
      <c r="BH8" s="103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  <c r="D9" s="107">
        <f ca="1">IFERROR(__xludf.DUMMYFUNCTION("""COMPUTED_VALUE"""),44469.3330712615)</f>
        <v>44469.333071261499</v>
      </c>
      <c r="E9" s="103" t="str">
        <f ca="1">IFERROR(__xludf.DUMMYFUNCTION("""COMPUTED_VALUE"""),"p2@rtp.com")</f>
        <v>p2@rtp.com</v>
      </c>
      <c r="F9" s="103" t="str">
        <f ca="1">IFERROR(__xludf.DUMMYFUNCTION("""COMPUTED_VALUE"""),"rtp2021")</f>
        <v>rtp2021</v>
      </c>
      <c r="G9" s="103"/>
      <c r="H9" s="103" t="str">
        <f ca="1">IFERROR(__xludf.DUMMYFUNCTION("""COMPUTED_VALUE"""),"ภ.2")</f>
        <v>ภ.2</v>
      </c>
      <c r="I9" s="103"/>
      <c r="J9" s="103"/>
      <c r="K9" s="103"/>
      <c r="L9" s="103"/>
      <c r="M9" s="103">
        <f ca="1">IFERROR(__xludf.DUMMYFUNCTION("""COMPUTED_VALUE"""),29)</f>
        <v>29</v>
      </c>
      <c r="N9" s="103">
        <f ca="1">IFERROR(__xludf.DUMMYFUNCTION("""COMPUTED_VALUE"""),29)</f>
        <v>29</v>
      </c>
      <c r="O9" s="103">
        <f ca="1">IFERROR(__xludf.DUMMYFUNCTION("""COMPUTED_VALUE"""),1)</f>
        <v>1</v>
      </c>
      <c r="P9" s="103">
        <f ca="1">IFERROR(__xludf.DUMMYFUNCTION("""COMPUTED_VALUE"""),1)</f>
        <v>1</v>
      </c>
      <c r="Q9" s="103"/>
      <c r="R9" s="103"/>
      <c r="S9" s="103">
        <f ca="1">IFERROR(__xludf.DUMMYFUNCTION("""COMPUTED_VALUE"""),27)</f>
        <v>27</v>
      </c>
      <c r="T9" s="103">
        <f ca="1">IFERROR(__xludf.DUMMYFUNCTION("""COMPUTED_VALUE"""),27)</f>
        <v>27</v>
      </c>
      <c r="U9" s="103">
        <f ca="1">IFERROR(__xludf.DUMMYFUNCTION("""COMPUTED_VALUE"""),2)</f>
        <v>2</v>
      </c>
      <c r="V9" s="103">
        <f ca="1">IFERROR(__xludf.DUMMYFUNCTION("""COMPUTED_VALUE"""),2)</f>
        <v>2</v>
      </c>
      <c r="W9" s="103"/>
      <c r="X9" s="103"/>
      <c r="Y9" s="103"/>
      <c r="Z9" s="103"/>
      <c r="AA9" s="103">
        <f ca="1">IFERROR(__xludf.DUMMYFUNCTION("""COMPUTED_VALUE"""),8)</f>
        <v>8</v>
      </c>
      <c r="AB9" s="103">
        <f ca="1">IFERROR(__xludf.DUMMYFUNCTION("""COMPUTED_VALUE"""),10)</f>
        <v>10</v>
      </c>
      <c r="AC9" s="103">
        <f ca="1">IFERROR(__xludf.DUMMYFUNCTION("""COMPUTED_VALUE"""),20)</f>
        <v>20</v>
      </c>
      <c r="AD9" s="103">
        <f ca="1">IFERROR(__xludf.DUMMYFUNCTION("""COMPUTED_VALUE"""),20)</f>
        <v>20</v>
      </c>
      <c r="AE9" s="103">
        <f ca="1">IFERROR(__xludf.DUMMYFUNCTION("""COMPUTED_VALUE"""),18)</f>
        <v>18</v>
      </c>
      <c r="AF9" s="103">
        <f ca="1">IFERROR(__xludf.DUMMYFUNCTION("""COMPUTED_VALUE"""),18)</f>
        <v>18</v>
      </c>
      <c r="AG9" s="103">
        <f ca="1">IFERROR(__xludf.DUMMYFUNCTION("""COMPUTED_VALUE"""),51)</f>
        <v>51</v>
      </c>
      <c r="AH9" s="103">
        <f ca="1">IFERROR(__xludf.DUMMYFUNCTION("""COMPUTED_VALUE"""),51)</f>
        <v>51</v>
      </c>
      <c r="AI9" s="103"/>
      <c r="AJ9" s="103"/>
      <c r="AK9" s="103"/>
      <c r="AL9" s="103"/>
      <c r="AM9" s="103">
        <f ca="1">IFERROR(__xludf.DUMMYFUNCTION("""COMPUTED_VALUE"""),25)</f>
        <v>25</v>
      </c>
      <c r="AN9" s="103">
        <f ca="1">IFERROR(__xludf.DUMMYFUNCTION("""COMPUTED_VALUE"""),25)</f>
        <v>25</v>
      </c>
      <c r="AO9" s="103"/>
      <c r="AP9" s="103"/>
      <c r="AQ9" s="103">
        <f ca="1">IFERROR(__xludf.DUMMYFUNCTION("""COMPUTED_VALUE"""),13)</f>
        <v>13</v>
      </c>
      <c r="AR9" s="103">
        <f ca="1">IFERROR(__xludf.DUMMYFUNCTION("""COMPUTED_VALUE"""),13)</f>
        <v>13</v>
      </c>
      <c r="AS9" s="103"/>
      <c r="AT9" s="103"/>
      <c r="AU9" s="103"/>
      <c r="AV9" s="103"/>
      <c r="AW9" s="103">
        <f ca="1">IFERROR(__xludf.DUMMYFUNCTION("""COMPUTED_VALUE"""),2)</f>
        <v>2</v>
      </c>
      <c r="AX9" s="103">
        <f ca="1">IFERROR(__xludf.DUMMYFUNCTION("""COMPUTED_VALUE"""),2)</f>
        <v>2</v>
      </c>
      <c r="AY9" s="103"/>
      <c r="AZ9" s="103"/>
      <c r="BA9" s="103">
        <f ca="1">IFERROR(__xludf.DUMMYFUNCTION("""COMPUTED_VALUE"""),107)</f>
        <v>107</v>
      </c>
      <c r="BB9" s="103">
        <f ca="1">IFERROR(__xludf.DUMMYFUNCTION("""COMPUTED_VALUE"""),107)</f>
        <v>107</v>
      </c>
      <c r="BC9" s="103"/>
      <c r="BD9" s="103"/>
      <c r="BE9" s="103"/>
      <c r="BF9" s="103"/>
      <c r="BG9" s="103"/>
      <c r="BH9" s="103"/>
    </row>
    <row r="10" spans="1:67" ht="12.75">
      <c r="A10" s="114" t="s">
        <v>27</v>
      </c>
      <c r="B10" s="115">
        <f t="shared" ref="B10:C10" ca="1" si="2">SUM(M:M)</f>
        <v>208</v>
      </c>
      <c r="C10" s="116">
        <f t="shared" ca="1" si="2"/>
        <v>208</v>
      </c>
      <c r="D10" s="107">
        <f ca="1">IFERROR(__xludf.DUMMYFUNCTION("""COMPUTED_VALUE"""),44470.3331610879)</f>
        <v>44470.333161087903</v>
      </c>
      <c r="E10" s="103" t="str">
        <f ca="1">IFERROR(__xludf.DUMMYFUNCTION("""COMPUTED_VALUE"""),"p2@rtp.com")</f>
        <v>p2@rtp.com</v>
      </c>
      <c r="F10" s="103" t="str">
        <f ca="1">IFERROR(__xludf.DUMMYFUNCTION("""COMPUTED_VALUE"""),"rtp2021")</f>
        <v>rtp2021</v>
      </c>
      <c r="G10" s="103"/>
      <c r="H10" s="103" t="str">
        <f ca="1">IFERROR(__xludf.DUMMYFUNCTION("""COMPUTED_VALUE"""),"ภ.2")</f>
        <v>ภ.2</v>
      </c>
      <c r="I10" s="103"/>
      <c r="J10" s="103"/>
      <c r="K10" s="103"/>
      <c r="L10" s="103"/>
      <c r="M10" s="103">
        <f ca="1">IFERROR(__xludf.DUMMYFUNCTION("""COMPUTED_VALUE"""),39)</f>
        <v>39</v>
      </c>
      <c r="N10" s="103">
        <f ca="1">IFERROR(__xludf.DUMMYFUNCTION("""COMPUTED_VALUE"""),39)</f>
        <v>39</v>
      </c>
      <c r="O10" s="103">
        <f ca="1">IFERROR(__xludf.DUMMYFUNCTION("""COMPUTED_VALUE"""),1)</f>
        <v>1</v>
      </c>
      <c r="P10" s="103">
        <f ca="1">IFERROR(__xludf.DUMMYFUNCTION("""COMPUTED_VALUE"""),5)</f>
        <v>5</v>
      </c>
      <c r="Q10" s="103">
        <f ca="1">IFERROR(__xludf.DUMMYFUNCTION("""COMPUTED_VALUE"""),5)</f>
        <v>5</v>
      </c>
      <c r="R10" s="103">
        <f ca="1">IFERROR(__xludf.DUMMYFUNCTION("""COMPUTED_VALUE"""),5)</f>
        <v>5</v>
      </c>
      <c r="S10" s="103">
        <f ca="1">IFERROR(__xludf.DUMMYFUNCTION("""COMPUTED_VALUE"""),15)</f>
        <v>15</v>
      </c>
      <c r="T10" s="103">
        <f ca="1">IFERROR(__xludf.DUMMYFUNCTION("""COMPUTED_VALUE"""),49)</f>
        <v>49</v>
      </c>
      <c r="U10" s="103">
        <f ca="1">IFERROR(__xludf.DUMMYFUNCTION("""COMPUTED_VALUE"""),6)</f>
        <v>6</v>
      </c>
      <c r="V10" s="103">
        <f ca="1">IFERROR(__xludf.DUMMYFUNCTION("""COMPUTED_VALUE"""),6)</f>
        <v>6</v>
      </c>
      <c r="W10" s="103"/>
      <c r="X10" s="103"/>
      <c r="Y10" s="103"/>
      <c r="Z10" s="103"/>
      <c r="AA10" s="103">
        <f ca="1">IFERROR(__xludf.DUMMYFUNCTION("""COMPUTED_VALUE"""),3)</f>
        <v>3</v>
      </c>
      <c r="AB10" s="103">
        <f ca="1">IFERROR(__xludf.DUMMYFUNCTION("""COMPUTED_VALUE"""),4)</f>
        <v>4</v>
      </c>
      <c r="AC10" s="103">
        <f ca="1">IFERROR(__xludf.DUMMYFUNCTION("""COMPUTED_VALUE"""),37)</f>
        <v>37</v>
      </c>
      <c r="AD10" s="103">
        <f ca="1">IFERROR(__xludf.DUMMYFUNCTION("""COMPUTED_VALUE"""),42)</f>
        <v>42</v>
      </c>
      <c r="AE10" s="103">
        <f ca="1">IFERROR(__xludf.DUMMYFUNCTION("""COMPUTED_VALUE"""),18)</f>
        <v>18</v>
      </c>
      <c r="AF10" s="103">
        <f ca="1">IFERROR(__xludf.DUMMYFUNCTION("""COMPUTED_VALUE"""),20)</f>
        <v>20</v>
      </c>
      <c r="AG10" s="103">
        <f ca="1">IFERROR(__xludf.DUMMYFUNCTION("""COMPUTED_VALUE"""),57)</f>
        <v>57</v>
      </c>
      <c r="AH10" s="103">
        <f ca="1">IFERROR(__xludf.DUMMYFUNCTION("""COMPUTED_VALUE"""),56)</f>
        <v>56</v>
      </c>
      <c r="AI10" s="103">
        <f ca="1">IFERROR(__xludf.DUMMYFUNCTION("""COMPUTED_VALUE"""),1)</f>
        <v>1</v>
      </c>
      <c r="AJ10" s="103">
        <f ca="1">IFERROR(__xludf.DUMMYFUNCTION("""COMPUTED_VALUE"""),1)</f>
        <v>1</v>
      </c>
      <c r="AK10" s="103"/>
      <c r="AL10" s="103"/>
      <c r="AM10" s="103">
        <f ca="1">IFERROR(__xludf.DUMMYFUNCTION("""COMPUTED_VALUE"""),35)</f>
        <v>35</v>
      </c>
      <c r="AN10" s="103">
        <f ca="1">IFERROR(__xludf.DUMMYFUNCTION("""COMPUTED_VALUE"""),35)</f>
        <v>35</v>
      </c>
      <c r="AO10" s="103"/>
      <c r="AP10" s="103"/>
      <c r="AQ10" s="103">
        <f ca="1">IFERROR(__xludf.DUMMYFUNCTION("""COMPUTED_VALUE"""),14)</f>
        <v>14</v>
      </c>
      <c r="AR10" s="103">
        <f ca="1">IFERROR(__xludf.DUMMYFUNCTION("""COMPUTED_VALUE"""),14)</f>
        <v>14</v>
      </c>
      <c r="AS10" s="103">
        <f ca="1">IFERROR(__xludf.DUMMYFUNCTION("""COMPUTED_VALUE"""),1)</f>
        <v>1</v>
      </c>
      <c r="AT10" s="103">
        <f ca="1">IFERROR(__xludf.DUMMYFUNCTION("""COMPUTED_VALUE"""),1)</f>
        <v>1</v>
      </c>
      <c r="AU10" s="103"/>
      <c r="AV10" s="103"/>
      <c r="AW10" s="103">
        <f ca="1">IFERROR(__xludf.DUMMYFUNCTION("""COMPUTED_VALUE"""),6)</f>
        <v>6</v>
      </c>
      <c r="AX10" s="103">
        <f ca="1">IFERROR(__xludf.DUMMYFUNCTION("""COMPUTED_VALUE"""),6)</f>
        <v>6</v>
      </c>
      <c r="AY10" s="103">
        <f ca="1">IFERROR(__xludf.DUMMYFUNCTION("""COMPUTED_VALUE"""),3)</f>
        <v>3</v>
      </c>
      <c r="AZ10" s="103">
        <f ca="1">IFERROR(__xludf.DUMMYFUNCTION("""COMPUTED_VALUE"""),3)</f>
        <v>3</v>
      </c>
      <c r="BA10" s="103">
        <f ca="1">IFERROR(__xludf.DUMMYFUNCTION("""COMPUTED_VALUE"""),84)</f>
        <v>84</v>
      </c>
      <c r="BB10" s="103">
        <f ca="1">IFERROR(__xludf.DUMMYFUNCTION("""COMPUTED_VALUE"""),84)</f>
        <v>84</v>
      </c>
      <c r="BC10" s="103"/>
      <c r="BD10" s="103"/>
      <c r="BE10" s="103"/>
      <c r="BF10" s="103"/>
      <c r="BG10" s="103"/>
      <c r="BH10" s="103"/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2</v>
      </c>
      <c r="C12" s="116">
        <f t="shared" ca="1" si="3"/>
        <v>6</v>
      </c>
    </row>
    <row r="13" spans="1:67" ht="12.75">
      <c r="A13" s="114" t="s">
        <v>30</v>
      </c>
      <c r="B13" s="115">
        <f t="shared" ref="B13:C13" ca="1" si="4">SUM(Q:Q)</f>
        <v>18</v>
      </c>
      <c r="C13" s="116">
        <f t="shared" ca="1" si="4"/>
        <v>22</v>
      </c>
    </row>
    <row r="14" spans="1:67" ht="12.75">
      <c r="A14" s="114" t="s">
        <v>31</v>
      </c>
      <c r="B14" s="115">
        <f t="shared" ref="B14:C14" ca="1" si="5">SUM(S:S)</f>
        <v>99</v>
      </c>
      <c r="C14" s="116">
        <f t="shared" ca="1" si="5"/>
        <v>213</v>
      </c>
    </row>
    <row r="15" spans="1:67" ht="12.75">
      <c r="A15" s="117" t="s">
        <v>32</v>
      </c>
      <c r="B15" s="118">
        <f t="shared" ref="B15:C15" ca="1" si="6">SUM(B6:B14)</f>
        <v>327</v>
      </c>
      <c r="C15" s="119">
        <f t="shared" ca="1" si="6"/>
        <v>449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28</v>
      </c>
      <c r="C17" s="116">
        <f t="shared" ca="1" si="7"/>
        <v>28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24</v>
      </c>
      <c r="C20" s="116">
        <f t="shared" ca="1" si="10"/>
        <v>27</v>
      </c>
    </row>
    <row r="21" spans="1:3" ht="12.75">
      <c r="A21" s="114" t="s">
        <v>38</v>
      </c>
      <c r="B21" s="115">
        <f t="shared" ref="B21:C21" ca="1" si="11">SUM(AC:AC)</f>
        <v>133</v>
      </c>
      <c r="C21" s="116">
        <f t="shared" ca="1" si="11"/>
        <v>141</v>
      </c>
    </row>
    <row r="22" spans="1:3" ht="12.75">
      <c r="A22" s="114" t="s">
        <v>39</v>
      </c>
      <c r="B22" s="115">
        <f t="shared" ref="B22:C22" ca="1" si="12">SUM(AE:AE)</f>
        <v>144</v>
      </c>
      <c r="C22" s="116">
        <f t="shared" ca="1" si="12"/>
        <v>147</v>
      </c>
    </row>
    <row r="23" spans="1:3" ht="12.75">
      <c r="A23" s="114" t="s">
        <v>40</v>
      </c>
      <c r="B23" s="115">
        <f t="shared" ref="B23:C23" ca="1" si="13">SUM(AG:AG)</f>
        <v>457</v>
      </c>
      <c r="C23" s="116">
        <f t="shared" ca="1" si="13"/>
        <v>456</v>
      </c>
    </row>
    <row r="24" spans="1:3" ht="12.75">
      <c r="A24" s="117" t="s">
        <v>32</v>
      </c>
      <c r="B24" s="118">
        <f t="shared" ref="B24:C24" ca="1" si="14">SUM(B17:B23)</f>
        <v>786</v>
      </c>
      <c r="C24" s="119">
        <f t="shared" ca="1" si="14"/>
        <v>799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5</v>
      </c>
      <c r="C26" s="116">
        <f t="shared" ca="1" si="15"/>
        <v>5</v>
      </c>
    </row>
    <row r="27" spans="1:3" ht="12.75">
      <c r="A27" s="114" t="s">
        <v>43</v>
      </c>
      <c r="B27" s="115">
        <f t="shared" ref="B27:C27" ca="1" si="16">SUM(AK:AK)</f>
        <v>0</v>
      </c>
      <c r="C27" s="116">
        <f t="shared" ca="1" si="16"/>
        <v>0</v>
      </c>
    </row>
    <row r="28" spans="1:3" ht="12.75">
      <c r="A28" s="114" t="s">
        <v>44</v>
      </c>
      <c r="B28" s="115">
        <f t="shared" ref="B28:C28" ca="1" si="17">SUM(AM:AM)</f>
        <v>102</v>
      </c>
      <c r="C28" s="116">
        <f t="shared" ca="1" si="17"/>
        <v>102</v>
      </c>
    </row>
    <row r="29" spans="1:3" ht="12.75">
      <c r="A29" s="117" t="s">
        <v>32</v>
      </c>
      <c r="B29" s="118">
        <f t="shared" ref="B29:C29" ca="1" si="18">SUM(B26:B28)</f>
        <v>107</v>
      </c>
      <c r="C29" s="119">
        <f t="shared" ca="1" si="18"/>
        <v>107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1</v>
      </c>
      <c r="C31" s="116">
        <f t="shared" ca="1" si="19"/>
        <v>1</v>
      </c>
    </row>
    <row r="32" spans="1:3" ht="12.75">
      <c r="A32" s="114" t="s">
        <v>47</v>
      </c>
      <c r="B32" s="115">
        <f t="shared" ref="B32:C32" ca="1" si="20">SUM(AQ:AQ)</f>
        <v>83</v>
      </c>
      <c r="C32" s="116">
        <f t="shared" ca="1" si="20"/>
        <v>83</v>
      </c>
    </row>
    <row r="33" spans="1:67" ht="12.75">
      <c r="A33" s="114" t="s">
        <v>48</v>
      </c>
      <c r="B33" s="115">
        <f t="shared" ref="B33:C33" ca="1" si="21">SUM(AS:AS)</f>
        <v>8</v>
      </c>
      <c r="C33" s="116">
        <f t="shared" ca="1" si="21"/>
        <v>8</v>
      </c>
    </row>
    <row r="34" spans="1:67" ht="12.75">
      <c r="A34" s="114" t="s">
        <v>49</v>
      </c>
      <c r="B34" s="115">
        <f t="shared" ref="B34:C34" ca="1" si="22">SUM(AU:AU)</f>
        <v>2</v>
      </c>
      <c r="C34" s="116">
        <f t="shared" ca="1" si="22"/>
        <v>2</v>
      </c>
    </row>
    <row r="35" spans="1:67" ht="12.75">
      <c r="A35" s="114" t="s">
        <v>50</v>
      </c>
      <c r="B35" s="115">
        <f t="shared" ref="B35:C35" ca="1" si="23">SUM(AW:AW)</f>
        <v>31</v>
      </c>
      <c r="C35" s="116">
        <f t="shared" ca="1" si="23"/>
        <v>31</v>
      </c>
    </row>
    <row r="36" spans="1:67" ht="12.75">
      <c r="A36" s="117" t="s">
        <v>32</v>
      </c>
      <c r="B36" s="118">
        <f t="shared" ref="B36:C36" ca="1" si="24">SUM(B31:B35)</f>
        <v>125</v>
      </c>
      <c r="C36" s="119">
        <f t="shared" ca="1" si="24"/>
        <v>125</v>
      </c>
    </row>
    <row r="37" spans="1:67" ht="12.75">
      <c r="A37" s="122" t="s">
        <v>51</v>
      </c>
      <c r="B37" s="123">
        <f t="shared" ref="B37:C37" ca="1" si="25">SUM(AY:AY)</f>
        <v>13</v>
      </c>
      <c r="C37" s="124">
        <f t="shared" ca="1" si="25"/>
        <v>45</v>
      </c>
    </row>
    <row r="38" spans="1:67" ht="12.75">
      <c r="A38" s="125" t="s">
        <v>52</v>
      </c>
      <c r="B38" s="123">
        <f t="shared" ref="B38:C38" ca="1" si="26">SUM(BA:BA)</f>
        <v>576</v>
      </c>
      <c r="C38" s="124">
        <f t="shared" ca="1" si="26"/>
        <v>576</v>
      </c>
    </row>
    <row r="39" spans="1:67" ht="15">
      <c r="A39" s="126" t="s">
        <v>20</v>
      </c>
      <c r="B39" s="127">
        <f t="shared" ref="B39:C39" ca="1" si="27">SUM(B15,B24,B29,B36,B37,B38)</f>
        <v>1934</v>
      </c>
      <c r="C39" s="128">
        <f t="shared" ca="1" si="27"/>
        <v>2101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CB18"/>
  <sheetViews>
    <sheetView showGridLines="0" view="pageBreakPreview" zoomScale="80" zoomScaleNormal="100" zoomScaleSheetLayoutView="80" workbookViewId="0">
      <selection activeCell="T30" sqref="T30"/>
    </sheetView>
  </sheetViews>
  <sheetFormatPr defaultColWidth="14.42578125" defaultRowHeight="15.75" customHeight="1"/>
  <cols>
    <col min="1" max="1" width="44.7109375" bestFit="1" customWidth="1"/>
    <col min="2" max="9" width="6.5703125" customWidth="1"/>
    <col min="10" max="10" width="7.140625" bestFit="1" customWidth="1"/>
    <col min="11" max="12" width="6.5703125" customWidth="1"/>
    <col min="13" max="13" width="7.42578125" bestFit="1" customWidth="1"/>
    <col min="14" max="24" width="6.5703125" customWidth="1"/>
    <col min="25" max="25" width="7.42578125" bestFit="1" customWidth="1"/>
    <col min="26" max="49" width="6.5703125" customWidth="1"/>
    <col min="50" max="50" width="7.42578125" customWidth="1"/>
    <col min="51" max="51" width="7.85546875" customWidth="1"/>
    <col min="52" max="80" width="5.140625" customWidth="1"/>
  </cols>
  <sheetData>
    <row r="1" spans="1:80" s="341" customFormat="1" ht="23.45" customHeight="1" thickBot="1">
      <c r="A1" s="340" t="s">
        <v>17</v>
      </c>
      <c r="B1" s="648" t="s">
        <v>133</v>
      </c>
      <c r="C1" s="649"/>
      <c r="D1" s="649"/>
      <c r="E1" s="650"/>
      <c r="F1" s="649"/>
      <c r="G1" s="649"/>
      <c r="H1" s="649"/>
      <c r="I1" s="649"/>
      <c r="J1" s="649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342"/>
      <c r="AO1" s="343"/>
      <c r="AP1" s="343"/>
      <c r="AQ1" s="343"/>
      <c r="AR1" s="343"/>
      <c r="AS1" s="343"/>
      <c r="AT1" s="343"/>
      <c r="AU1" s="343"/>
      <c r="AV1" s="343"/>
      <c r="AW1" s="343"/>
      <c r="AZ1" s="343"/>
      <c r="BA1" s="343"/>
      <c r="BB1" s="343"/>
      <c r="BC1" s="343"/>
      <c r="BD1" s="343"/>
      <c r="BE1" s="343"/>
      <c r="BF1" s="343"/>
      <c r="BG1" s="343"/>
      <c r="BH1" s="343"/>
      <c r="BI1" s="343"/>
      <c r="BJ1" s="343"/>
      <c r="BK1" s="343"/>
      <c r="BL1" s="343"/>
      <c r="BM1" s="343"/>
      <c r="BN1" s="343"/>
      <c r="BO1" s="343"/>
      <c r="BP1" s="343"/>
      <c r="BQ1" s="343"/>
      <c r="BR1" s="343"/>
      <c r="BS1" s="343"/>
      <c r="BT1" s="343"/>
      <c r="BU1" s="343"/>
      <c r="BV1" s="343"/>
      <c r="BW1" s="343"/>
      <c r="BX1" s="343"/>
      <c r="BY1" s="343"/>
      <c r="BZ1" s="343"/>
      <c r="CA1" s="343"/>
      <c r="CB1" s="343"/>
    </row>
    <row r="2" spans="1:80" s="148" customFormat="1" ht="13.5" thickBot="1">
      <c r="A2" s="639" t="s">
        <v>64</v>
      </c>
      <c r="B2" s="641" t="s">
        <v>11</v>
      </c>
      <c r="C2" s="642"/>
      <c r="D2" s="643"/>
      <c r="E2" s="644" t="s">
        <v>9</v>
      </c>
      <c r="F2" s="642"/>
      <c r="G2" s="645"/>
      <c r="H2" s="641" t="s">
        <v>4</v>
      </c>
      <c r="I2" s="642"/>
      <c r="J2" s="643"/>
      <c r="K2" s="644" t="s">
        <v>2</v>
      </c>
      <c r="L2" s="642"/>
      <c r="M2" s="645"/>
      <c r="N2" s="641" t="s">
        <v>0</v>
      </c>
      <c r="O2" s="642"/>
      <c r="P2" s="643"/>
      <c r="Q2" s="644" t="s">
        <v>14</v>
      </c>
      <c r="R2" s="642"/>
      <c r="S2" s="645"/>
      <c r="T2" s="641" t="s">
        <v>15</v>
      </c>
      <c r="U2" s="642"/>
      <c r="V2" s="643"/>
      <c r="W2" s="644" t="s">
        <v>1</v>
      </c>
      <c r="X2" s="642"/>
      <c r="Y2" s="645"/>
      <c r="Z2" s="641" t="s">
        <v>3</v>
      </c>
      <c r="AA2" s="642"/>
      <c r="AB2" s="643"/>
      <c r="AC2" s="644" t="s">
        <v>8</v>
      </c>
      <c r="AD2" s="642"/>
      <c r="AE2" s="645"/>
      <c r="AF2" s="641" t="s">
        <v>5</v>
      </c>
      <c r="AG2" s="642"/>
      <c r="AH2" s="643"/>
      <c r="AI2" s="644" t="s">
        <v>6</v>
      </c>
      <c r="AJ2" s="642"/>
      <c r="AK2" s="645"/>
      <c r="AL2" s="641" t="s">
        <v>12</v>
      </c>
      <c r="AM2" s="642"/>
      <c r="AN2" s="643"/>
      <c r="AO2" s="644" t="s">
        <v>7</v>
      </c>
      <c r="AP2" s="642"/>
      <c r="AQ2" s="645"/>
      <c r="AR2" s="641" t="s">
        <v>10</v>
      </c>
      <c r="AS2" s="642"/>
      <c r="AT2" s="643"/>
      <c r="AU2" s="644" t="s">
        <v>13</v>
      </c>
      <c r="AV2" s="642"/>
      <c r="AW2" s="642"/>
      <c r="AX2" s="646" t="s">
        <v>79</v>
      </c>
      <c r="AY2" s="6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</row>
    <row r="3" spans="1:80" ht="13.5" thickBot="1">
      <c r="A3" s="640"/>
      <c r="B3" s="82" t="s">
        <v>21</v>
      </c>
      <c r="C3" s="83" t="s">
        <v>22</v>
      </c>
      <c r="D3" s="84" t="s">
        <v>53</v>
      </c>
      <c r="E3" s="85" t="s">
        <v>21</v>
      </c>
      <c r="F3" s="83" t="s">
        <v>22</v>
      </c>
      <c r="G3" s="86" t="s">
        <v>53</v>
      </c>
      <c r="H3" s="82" t="s">
        <v>21</v>
      </c>
      <c r="I3" s="83" t="s">
        <v>22</v>
      </c>
      <c r="J3" s="84" t="s">
        <v>53</v>
      </c>
      <c r="K3" s="85" t="s">
        <v>21</v>
      </c>
      <c r="L3" s="83" t="s">
        <v>22</v>
      </c>
      <c r="M3" s="86" t="s">
        <v>53</v>
      </c>
      <c r="N3" s="82" t="s">
        <v>21</v>
      </c>
      <c r="O3" s="83" t="s">
        <v>22</v>
      </c>
      <c r="P3" s="84" t="s">
        <v>53</v>
      </c>
      <c r="Q3" s="85" t="s">
        <v>21</v>
      </c>
      <c r="R3" s="83" t="s">
        <v>22</v>
      </c>
      <c r="S3" s="86" t="s">
        <v>53</v>
      </c>
      <c r="T3" s="82" t="s">
        <v>21</v>
      </c>
      <c r="U3" s="83" t="s">
        <v>22</v>
      </c>
      <c r="V3" s="84" t="s">
        <v>53</v>
      </c>
      <c r="W3" s="85" t="s">
        <v>21</v>
      </c>
      <c r="X3" s="83" t="s">
        <v>22</v>
      </c>
      <c r="Y3" s="86" t="s">
        <v>53</v>
      </c>
      <c r="Z3" s="82" t="s">
        <v>21</v>
      </c>
      <c r="AA3" s="83" t="s">
        <v>22</v>
      </c>
      <c r="AB3" s="84" t="s">
        <v>53</v>
      </c>
      <c r="AC3" s="85" t="s">
        <v>21</v>
      </c>
      <c r="AD3" s="83" t="s">
        <v>22</v>
      </c>
      <c r="AE3" s="86" t="s">
        <v>53</v>
      </c>
      <c r="AF3" s="82" t="s">
        <v>21</v>
      </c>
      <c r="AG3" s="83" t="s">
        <v>22</v>
      </c>
      <c r="AH3" s="84" t="s">
        <v>53</v>
      </c>
      <c r="AI3" s="85" t="s">
        <v>21</v>
      </c>
      <c r="AJ3" s="83" t="s">
        <v>22</v>
      </c>
      <c r="AK3" s="86" t="s">
        <v>53</v>
      </c>
      <c r="AL3" s="82" t="s">
        <v>21</v>
      </c>
      <c r="AM3" s="83" t="s">
        <v>22</v>
      </c>
      <c r="AN3" s="84" t="s">
        <v>53</v>
      </c>
      <c r="AO3" s="85" t="s">
        <v>21</v>
      </c>
      <c r="AP3" s="83" t="s">
        <v>22</v>
      </c>
      <c r="AQ3" s="86" t="s">
        <v>53</v>
      </c>
      <c r="AR3" s="82" t="s">
        <v>21</v>
      </c>
      <c r="AS3" s="83" t="s">
        <v>22</v>
      </c>
      <c r="AT3" s="84" t="s">
        <v>53</v>
      </c>
      <c r="AU3" s="85" t="s">
        <v>21</v>
      </c>
      <c r="AV3" s="83" t="s">
        <v>22</v>
      </c>
      <c r="AW3" s="84" t="s">
        <v>53</v>
      </c>
      <c r="AX3" s="225" t="s">
        <v>21</v>
      </c>
      <c r="AY3" s="226" t="s">
        <v>22</v>
      </c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</row>
    <row r="4" spans="1:80" s="148" customFormat="1" ht="12.75">
      <c r="A4" s="155" t="s">
        <v>60</v>
      </c>
      <c r="B4" s="156"/>
      <c r="C4" s="157"/>
      <c r="D4" s="158"/>
      <c r="E4" s="159"/>
      <c r="F4" s="157"/>
      <c r="G4" s="160"/>
      <c r="H4" s="156"/>
      <c r="I4" s="157"/>
      <c r="J4" s="158"/>
      <c r="K4" s="159"/>
      <c r="L4" s="157"/>
      <c r="M4" s="160"/>
      <c r="N4" s="156"/>
      <c r="O4" s="157"/>
      <c r="P4" s="158"/>
      <c r="Q4" s="159"/>
      <c r="R4" s="157"/>
      <c r="S4" s="160"/>
      <c r="T4" s="156"/>
      <c r="U4" s="157"/>
      <c r="V4" s="158"/>
      <c r="W4" s="159"/>
      <c r="X4" s="157"/>
      <c r="Y4" s="160"/>
      <c r="Z4" s="156"/>
      <c r="AA4" s="157"/>
      <c r="AB4" s="158"/>
      <c r="AC4" s="159"/>
      <c r="AD4" s="157"/>
      <c r="AE4" s="160"/>
      <c r="AF4" s="156"/>
      <c r="AG4" s="157"/>
      <c r="AH4" s="158"/>
      <c r="AI4" s="159"/>
      <c r="AJ4" s="157"/>
      <c r="AK4" s="160"/>
      <c r="AL4" s="156"/>
      <c r="AM4" s="157"/>
      <c r="AN4" s="158"/>
      <c r="AO4" s="159"/>
      <c r="AP4" s="157"/>
      <c r="AQ4" s="160"/>
      <c r="AR4" s="156"/>
      <c r="AS4" s="157"/>
      <c r="AT4" s="158"/>
      <c r="AU4" s="159"/>
      <c r="AV4" s="157"/>
      <c r="AW4" s="158"/>
      <c r="AX4" s="161"/>
      <c r="AY4" s="161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</row>
    <row r="5" spans="1:80" s="148" customFormat="1" ht="12.75">
      <c r="A5" s="163" t="s">
        <v>23</v>
      </c>
      <c r="B5" s="164">
        <f ca="1">ทั่วไป!B13</f>
        <v>71</v>
      </c>
      <c r="C5" s="165">
        <f ca="1">ทั่วไป!C13</f>
        <v>115</v>
      </c>
      <c r="D5" s="166">
        <f ca="1">ทั่วไป!D13</f>
        <v>111</v>
      </c>
      <c r="E5" s="167">
        <f ca="1">ทั่วไป!E13</f>
        <v>221</v>
      </c>
      <c r="F5" s="165">
        <f ca="1">ทั่วไป!F13</f>
        <v>342</v>
      </c>
      <c r="G5" s="168">
        <f ca="1">ทั่วไป!G13</f>
        <v>215.5</v>
      </c>
      <c r="H5" s="164">
        <f ca="1">ทั่วไป!H13</f>
        <v>327</v>
      </c>
      <c r="I5" s="165">
        <f ca="1">ทั่วไป!I13</f>
        <v>449</v>
      </c>
      <c r="J5" s="166">
        <f ca="1">ทั่วไป!J13</f>
        <v>414</v>
      </c>
      <c r="K5" s="167">
        <f ca="1">ทั่วไป!K13</f>
        <v>549</v>
      </c>
      <c r="L5" s="165">
        <f ca="1">ทั่วไป!L13</f>
        <v>658</v>
      </c>
      <c r="M5" s="168">
        <f ca="1">ทั่วไป!M13</f>
        <v>1324.5</v>
      </c>
      <c r="N5" s="164">
        <f ca="1">ทั่วไป!N13</f>
        <v>655</v>
      </c>
      <c r="O5" s="165">
        <f ca="1">ทั่วไป!O13</f>
        <v>963</v>
      </c>
      <c r="P5" s="166">
        <f ca="1">ทั่วไป!P13</f>
        <v>1543.5</v>
      </c>
      <c r="Q5" s="167">
        <f ca="1">ทั่วไป!Q13</f>
        <v>12</v>
      </c>
      <c r="R5" s="165">
        <f ca="1">ทั่วไป!R13</f>
        <v>32</v>
      </c>
      <c r="S5" s="168">
        <f ca="1">ทั่วไป!S13</f>
        <v>23.5</v>
      </c>
      <c r="T5" s="164">
        <f ca="1">ทั่วไป!T13</f>
        <v>19</v>
      </c>
      <c r="U5" s="165">
        <f ca="1">ทั่วไป!U13</f>
        <v>73</v>
      </c>
      <c r="V5" s="166">
        <f ca="1">ทั่วไป!V13</f>
        <v>39.5</v>
      </c>
      <c r="W5" s="167">
        <f ca="1">ทั่วไป!W13</f>
        <v>106</v>
      </c>
      <c r="X5" s="165">
        <f ca="1">ทั่วไป!X13</f>
        <v>207</v>
      </c>
      <c r="Y5" s="168">
        <f ca="1">ทั่วไป!Y13</f>
        <v>127</v>
      </c>
      <c r="Z5" s="164">
        <f ca="1">ทั่วไป!Z13</f>
        <v>104</v>
      </c>
      <c r="AA5" s="165">
        <f ca="1">ทั่วไป!AA13</f>
        <v>212</v>
      </c>
      <c r="AB5" s="166">
        <f ca="1">ทั่วไป!AB13</f>
        <v>254.5</v>
      </c>
      <c r="AC5" s="167">
        <f ca="1">ทั่วไป!AC13</f>
        <v>28</v>
      </c>
      <c r="AD5" s="165">
        <f ca="1">ทั่วไป!AD13</f>
        <v>69</v>
      </c>
      <c r="AE5" s="168">
        <f ca="1">ทั่วไป!AE13</f>
        <v>63</v>
      </c>
      <c r="AF5" s="164">
        <f ca="1">ทั่วไป!AF13</f>
        <v>25</v>
      </c>
      <c r="AG5" s="165">
        <f ca="1">ทั่วไป!AG13</f>
        <v>57</v>
      </c>
      <c r="AH5" s="166">
        <f ca="1">ทั่วไป!AH13</f>
        <v>55</v>
      </c>
      <c r="AI5" s="167">
        <f ca="1">ทั่วไป!AI13</f>
        <v>49</v>
      </c>
      <c r="AJ5" s="165">
        <f ca="1">ทั่วไป!AJ13</f>
        <v>69</v>
      </c>
      <c r="AK5" s="168">
        <f ca="1">ทั่วไป!AK13</f>
        <v>61.5</v>
      </c>
      <c r="AL5" s="164">
        <f ca="1">ทั่วไป!AL13</f>
        <v>1</v>
      </c>
      <c r="AM5" s="165">
        <f ca="1">ทั่วไป!AM13</f>
        <v>2</v>
      </c>
      <c r="AN5" s="166">
        <f ca="1">ทั่วไป!AN13</f>
        <v>2</v>
      </c>
      <c r="AO5" s="167">
        <f ca="1">ทั่วไป!AO13</f>
        <v>10</v>
      </c>
      <c r="AP5" s="165">
        <f ca="1">ทั่วไป!AP13</f>
        <v>29</v>
      </c>
      <c r="AQ5" s="168">
        <f ca="1">ทั่วไป!AQ13</f>
        <v>23</v>
      </c>
      <c r="AR5" s="164">
        <f ca="1">ทั่วไป!AR13</f>
        <v>6</v>
      </c>
      <c r="AS5" s="165">
        <f ca="1">ทั่วไป!AS13</f>
        <v>11</v>
      </c>
      <c r="AT5" s="166">
        <f ca="1">ทั่วไป!AT13</f>
        <v>13.5</v>
      </c>
      <c r="AU5" s="167">
        <f ca="1">ทั่วไป!AU13</f>
        <v>0</v>
      </c>
      <c r="AV5" s="165">
        <f ca="1">ทั่วไป!AV13</f>
        <v>0</v>
      </c>
      <c r="AW5" s="166">
        <f ca="1">ทั่วไป!AW13</f>
        <v>0</v>
      </c>
      <c r="AX5" s="589">
        <f ca="1">SUM(B5,E5,H5,K5,N5,Q5,T5,W5,Z5,AC5,AF5,AI5,AL5,AO5,AR5,AU5)</f>
        <v>2183</v>
      </c>
      <c r="AY5" s="589">
        <f ca="1">SUM(C5,F5,I5,L5,O5,R5,U5,X5,AA5,AD5,AG5,AJ5,AM5,AP5,AS5,AV5)</f>
        <v>3288</v>
      </c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</row>
    <row r="6" spans="1:80" s="148" customFormat="1" ht="12.75">
      <c r="A6" s="163" t="s">
        <v>33</v>
      </c>
      <c r="B6" s="164">
        <f ca="1">ทั่วไป!B22</f>
        <v>133</v>
      </c>
      <c r="C6" s="165">
        <f ca="1">ทั่วไป!C22</f>
        <v>187</v>
      </c>
      <c r="D6" s="169">
        <f ca="1">ทั่วไป!D22</f>
        <v>165</v>
      </c>
      <c r="E6" s="167">
        <f ca="1">ทั่วไป!E22</f>
        <v>635</v>
      </c>
      <c r="F6" s="165">
        <f ca="1">ทั่วไป!F22</f>
        <v>648</v>
      </c>
      <c r="G6" s="170">
        <f ca="1">ทั่วไป!G22</f>
        <v>889.5</v>
      </c>
      <c r="H6" s="164">
        <f ca="1">ทั่วไป!H22</f>
        <v>786</v>
      </c>
      <c r="I6" s="165">
        <f ca="1">ทั่วไป!I22</f>
        <v>799</v>
      </c>
      <c r="J6" s="169">
        <f ca="1">ทั่วไป!J22</f>
        <v>850.5</v>
      </c>
      <c r="K6" s="167">
        <f ca="1">ทั่วไป!K22</f>
        <v>869</v>
      </c>
      <c r="L6" s="165">
        <f ca="1">ทั่วไป!L22</f>
        <v>881</v>
      </c>
      <c r="M6" s="170">
        <f ca="1">ทั่วไป!M22</f>
        <v>883</v>
      </c>
      <c r="N6" s="164">
        <f ca="1">ทั่วไป!N22</f>
        <v>3854</v>
      </c>
      <c r="O6" s="165">
        <f ca="1">ทั่วไป!O22</f>
        <v>3859</v>
      </c>
      <c r="P6" s="169">
        <f ca="1">ทั่วไป!P22</f>
        <v>3598</v>
      </c>
      <c r="Q6" s="167">
        <f ca="1">ทั่วไป!Q22</f>
        <v>461</v>
      </c>
      <c r="R6" s="165">
        <f ca="1">ทั่วไป!R22</f>
        <v>358</v>
      </c>
      <c r="S6" s="170">
        <f ca="1">ทั่วไป!S22</f>
        <v>773.5</v>
      </c>
      <c r="T6" s="164">
        <f ca="1">ทั่วไป!T22</f>
        <v>599</v>
      </c>
      <c r="U6" s="165">
        <f ca="1">ทั่วไป!U22</f>
        <v>613</v>
      </c>
      <c r="V6" s="169">
        <f ca="1">ทั่วไป!V22</f>
        <v>547</v>
      </c>
      <c r="W6" s="167">
        <f ca="1">ทั่วไป!W22</f>
        <v>652</v>
      </c>
      <c r="X6" s="165">
        <f ca="1">ทั่วไป!X22</f>
        <v>661</v>
      </c>
      <c r="Y6" s="170">
        <f ca="1">ทั่วไป!Y22</f>
        <v>750</v>
      </c>
      <c r="Z6" s="164">
        <f ca="1">ทั่วไป!Z22</f>
        <v>568</v>
      </c>
      <c r="AA6" s="165">
        <f ca="1">ทั่วไป!AA22</f>
        <v>581</v>
      </c>
      <c r="AB6" s="169">
        <f ca="1">ทั่วไป!AB22</f>
        <v>732</v>
      </c>
      <c r="AC6" s="167">
        <f ca="1">ทั่วไป!AC22</f>
        <v>487</v>
      </c>
      <c r="AD6" s="165">
        <f ca="1">ทั่วไป!AD22</f>
        <v>506</v>
      </c>
      <c r="AE6" s="170">
        <f ca="1">ทั่วไป!AE22</f>
        <v>535.5</v>
      </c>
      <c r="AF6" s="164">
        <f ca="1">ทั่วไป!AF22</f>
        <v>170</v>
      </c>
      <c r="AG6" s="165">
        <f ca="1">ทั่วไป!AG22</f>
        <v>256</v>
      </c>
      <c r="AH6" s="169">
        <f ca="1">ทั่วไป!AH22</f>
        <v>257</v>
      </c>
      <c r="AI6" s="167">
        <f ca="1">ทั่วไป!AI22</f>
        <v>26</v>
      </c>
      <c r="AJ6" s="165">
        <f ca="1">ทั่วไป!AJ22</f>
        <v>28</v>
      </c>
      <c r="AK6" s="170">
        <f ca="1">ทั่วไป!AK22</f>
        <v>39.5</v>
      </c>
      <c r="AL6" s="164">
        <f ca="1">ทั่วไป!AL22</f>
        <v>26</v>
      </c>
      <c r="AM6" s="165">
        <f ca="1">ทั่วไป!AM22</f>
        <v>33</v>
      </c>
      <c r="AN6" s="169">
        <f ca="1">ทั่วไป!AN22</f>
        <v>50</v>
      </c>
      <c r="AO6" s="167">
        <f ca="1">ทั่วไป!AO22</f>
        <v>191</v>
      </c>
      <c r="AP6" s="165">
        <f ca="1">ทั่วไป!AP22</f>
        <v>204</v>
      </c>
      <c r="AQ6" s="170">
        <f ca="1">ทั่วไป!AQ22</f>
        <v>239.5</v>
      </c>
      <c r="AR6" s="164">
        <f ca="1">ทั่วไป!AR22</f>
        <v>74</v>
      </c>
      <c r="AS6" s="165">
        <f ca="1">ทั่วไป!AS22</f>
        <v>75</v>
      </c>
      <c r="AT6" s="169">
        <f ca="1">ทั่วไป!AT22</f>
        <v>111.5</v>
      </c>
      <c r="AU6" s="167">
        <f ca="1">ทั่วไป!AU22</f>
        <v>19</v>
      </c>
      <c r="AV6" s="165">
        <f ca="1">ทั่วไป!AV22</f>
        <v>26</v>
      </c>
      <c r="AW6" s="169">
        <f ca="1">ทั่วไป!AW22</f>
        <v>27</v>
      </c>
      <c r="AX6" s="589">
        <f t="shared" ref="AX6:AX9" ca="1" si="0">SUM(B6,E6,H6,K6,N6,Q6,T6,W6,Z6,AC6,AF6,AI6,AL6,AO6,AR6,AU6)</f>
        <v>9550</v>
      </c>
      <c r="AY6" s="589">
        <f t="shared" ref="AY6:AY9" ca="1" si="1">SUM(C6,F6,I6,L6,O6,R6,U6,X6,AA6,AD6,AG6,AJ6,AM6,AP6,AS6,AV6)</f>
        <v>9715</v>
      </c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</row>
    <row r="7" spans="1:80" s="148" customFormat="1" ht="12.75">
      <c r="A7" s="163" t="s">
        <v>41</v>
      </c>
      <c r="B7" s="164">
        <f ca="1">ทั่วไป!B27</f>
        <v>301</v>
      </c>
      <c r="C7" s="165">
        <f ca="1">ทั่วไป!C27</f>
        <v>306</v>
      </c>
      <c r="D7" s="169">
        <f ca="1">ทั่วไป!D27</f>
        <v>150.5</v>
      </c>
      <c r="E7" s="167">
        <f ca="1">ทั่วไป!E27</f>
        <v>90</v>
      </c>
      <c r="F7" s="165">
        <f ca="1">ทั่วไป!F27</f>
        <v>91</v>
      </c>
      <c r="G7" s="170">
        <f ca="1">ทั่วไป!G27</f>
        <v>45</v>
      </c>
      <c r="H7" s="164">
        <f ca="1">ทั่วไป!H27</f>
        <v>107</v>
      </c>
      <c r="I7" s="165">
        <f ca="1">ทั่วไป!I27</f>
        <v>107</v>
      </c>
      <c r="J7" s="169">
        <f ca="1">ทั่วไป!J27</f>
        <v>76</v>
      </c>
      <c r="K7" s="167">
        <f ca="1">ทั่วไป!K27</f>
        <v>8</v>
      </c>
      <c r="L7" s="165">
        <f ca="1">ทั่วไป!L27</f>
        <v>8</v>
      </c>
      <c r="M7" s="170">
        <f ca="1">ทั่วไป!M27</f>
        <v>4</v>
      </c>
      <c r="N7" s="164">
        <f ca="1">ทั่วไป!N27</f>
        <v>93</v>
      </c>
      <c r="O7" s="165">
        <f ca="1">ทั่วไป!O27</f>
        <v>93</v>
      </c>
      <c r="P7" s="169">
        <f ca="1">ทั่วไป!P27</f>
        <v>63.5</v>
      </c>
      <c r="Q7" s="167">
        <f ca="1">ทั่วไป!Q27</f>
        <v>53</v>
      </c>
      <c r="R7" s="165">
        <f ca="1">ทั่วไป!R27</f>
        <v>54</v>
      </c>
      <c r="S7" s="170">
        <f ca="1">ทั่วไป!S27</f>
        <v>33.5</v>
      </c>
      <c r="T7" s="164">
        <f ca="1">ทั่วไป!T27</f>
        <v>90</v>
      </c>
      <c r="U7" s="165">
        <f ca="1">ทั่วไป!U27</f>
        <v>91</v>
      </c>
      <c r="V7" s="169">
        <f ca="1">ทั่วไป!V27</f>
        <v>60</v>
      </c>
      <c r="W7" s="167">
        <f ca="1">ทั่วไป!W27</f>
        <v>90</v>
      </c>
      <c r="X7" s="165">
        <f ca="1">ทั่วไป!X27</f>
        <v>149</v>
      </c>
      <c r="Y7" s="170">
        <f ca="1">ทั่วไป!Y27</f>
        <v>52.5</v>
      </c>
      <c r="Z7" s="164">
        <f ca="1">ทั่วไป!Z27</f>
        <v>9</v>
      </c>
      <c r="AA7" s="165">
        <f ca="1">ทั่วไป!AA27</f>
        <v>9</v>
      </c>
      <c r="AB7" s="169">
        <f ca="1">ทั่วไป!AB27</f>
        <v>4.5</v>
      </c>
      <c r="AC7" s="167">
        <f ca="1">ทั่วไป!AC27</f>
        <v>17</v>
      </c>
      <c r="AD7" s="165">
        <f ca="1">ทั่วไป!AD27</f>
        <v>58</v>
      </c>
      <c r="AE7" s="170">
        <f ca="1">ทั่วไป!AE27</f>
        <v>29.5</v>
      </c>
      <c r="AF7" s="164">
        <f ca="1">ทั่วไป!AF27</f>
        <v>57</v>
      </c>
      <c r="AG7" s="165">
        <f ca="1">ทั่วไป!AG27</f>
        <v>120</v>
      </c>
      <c r="AH7" s="169">
        <f ca="1">ทั่วไป!AH27</f>
        <v>59.5</v>
      </c>
      <c r="AI7" s="167">
        <f ca="1">ทั่วไป!AI27</f>
        <v>8</v>
      </c>
      <c r="AJ7" s="165">
        <f ca="1">ทั่วไป!AJ27</f>
        <v>12</v>
      </c>
      <c r="AK7" s="170">
        <f ca="1">ทั่วไป!AK27</f>
        <v>8.5</v>
      </c>
      <c r="AL7" s="164">
        <f ca="1">ทั่วไป!AL27</f>
        <v>1</v>
      </c>
      <c r="AM7" s="165">
        <f ca="1">ทั่วไป!AM27</f>
        <v>1</v>
      </c>
      <c r="AN7" s="169">
        <f ca="1">ทั่วไป!AN27</f>
        <v>0.5</v>
      </c>
      <c r="AO7" s="167">
        <f ca="1">ทั่วไป!AO27</f>
        <v>673</v>
      </c>
      <c r="AP7" s="165">
        <f ca="1">ทั่วไป!AP27</f>
        <v>956</v>
      </c>
      <c r="AQ7" s="170">
        <f ca="1">ทั่วไป!AQ27</f>
        <v>399</v>
      </c>
      <c r="AR7" s="164">
        <f ca="1">ทั่วไป!AR27</f>
        <v>38</v>
      </c>
      <c r="AS7" s="165">
        <f ca="1">ทั่วไป!AS27</f>
        <v>56</v>
      </c>
      <c r="AT7" s="169">
        <f ca="1">ทั่วไป!AT27</f>
        <v>38.5</v>
      </c>
      <c r="AU7" s="167">
        <f ca="1">ทั่วไป!AU27</f>
        <v>16</v>
      </c>
      <c r="AV7" s="165">
        <f ca="1">ทั่วไป!AV27</f>
        <v>80</v>
      </c>
      <c r="AW7" s="169">
        <f ca="1">ทั่วไป!AW27</f>
        <v>8</v>
      </c>
      <c r="AX7" s="589">
        <f t="shared" ca="1" si="0"/>
        <v>1651</v>
      </c>
      <c r="AY7" s="589">
        <f t="shared" ca="1" si="1"/>
        <v>2191</v>
      </c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</row>
    <row r="8" spans="1:80" s="148" customFormat="1" ht="12.75">
      <c r="A8" s="163" t="s">
        <v>45</v>
      </c>
      <c r="B8" s="164">
        <f ca="1">ทั่วไป!B34</f>
        <v>24</v>
      </c>
      <c r="C8" s="165">
        <f ca="1">ทั่วไป!C34</f>
        <v>27</v>
      </c>
      <c r="D8" s="169">
        <f ca="1">ทั่วไป!D34</f>
        <v>62</v>
      </c>
      <c r="E8" s="167">
        <f ca="1">ทั่วไป!E34</f>
        <v>179</v>
      </c>
      <c r="F8" s="165">
        <f ca="1">ทั่วไป!F34</f>
        <v>180</v>
      </c>
      <c r="G8" s="170">
        <f ca="1">ทั่วไป!G34</f>
        <v>263</v>
      </c>
      <c r="H8" s="164">
        <f ca="1">ทั่วไป!H34</f>
        <v>125</v>
      </c>
      <c r="I8" s="165">
        <f ca="1">ทั่วไป!I34</f>
        <v>125</v>
      </c>
      <c r="J8" s="169">
        <f ca="1">ทั่วไป!J34</f>
        <v>202.5</v>
      </c>
      <c r="K8" s="167">
        <f ca="1">ทั่วไป!K34</f>
        <v>132</v>
      </c>
      <c r="L8" s="165">
        <f ca="1">ทั่วไป!L34</f>
        <v>133</v>
      </c>
      <c r="M8" s="170">
        <f ca="1">ทั่วไป!M34</f>
        <v>162.5</v>
      </c>
      <c r="N8" s="164">
        <f ca="1">ทั่วไป!N34</f>
        <v>282</v>
      </c>
      <c r="O8" s="165">
        <f ca="1">ทั่วไป!O34</f>
        <v>277</v>
      </c>
      <c r="P8" s="169">
        <f ca="1">ทั่วไป!P34</f>
        <v>511.5</v>
      </c>
      <c r="Q8" s="167">
        <f ca="1">ทั่วไป!Q34</f>
        <v>46</v>
      </c>
      <c r="R8" s="165">
        <f ca="1">ทั่วไป!R34</f>
        <v>30</v>
      </c>
      <c r="S8" s="170">
        <f ca="1">ทั่วไป!S34</f>
        <v>67</v>
      </c>
      <c r="T8" s="164">
        <f ca="1">ทั่วไป!T34</f>
        <v>79</v>
      </c>
      <c r="U8" s="165">
        <f ca="1">ทั่วไป!U34</f>
        <v>78</v>
      </c>
      <c r="V8" s="169">
        <f ca="1">ทั่วไป!V34</f>
        <v>131.5</v>
      </c>
      <c r="W8" s="167">
        <f ca="1">ทั่วไป!W34</f>
        <v>170</v>
      </c>
      <c r="X8" s="165">
        <f ca="1">ทั่วไป!X34</f>
        <v>168</v>
      </c>
      <c r="Y8" s="170">
        <f ca="1">ทั่วไป!Y34</f>
        <v>292</v>
      </c>
      <c r="Z8" s="164">
        <f ca="1">ทั่วไป!Z34</f>
        <v>116</v>
      </c>
      <c r="AA8" s="165">
        <f ca="1">ทั่วไป!AA34</f>
        <v>112</v>
      </c>
      <c r="AB8" s="169">
        <f ca="1">ทั่วไป!AB34</f>
        <v>136</v>
      </c>
      <c r="AC8" s="167">
        <f ca="1">ทั่วไป!AC34</f>
        <v>123</v>
      </c>
      <c r="AD8" s="165">
        <f ca="1">ทั่วไป!AD34</f>
        <v>124</v>
      </c>
      <c r="AE8" s="170">
        <f ca="1">ทั่วไป!AE34</f>
        <v>115.5</v>
      </c>
      <c r="AF8" s="164">
        <f ca="1">ทั่วไป!AF34</f>
        <v>28</v>
      </c>
      <c r="AG8" s="165">
        <f ca="1">ทั่วไป!AG34</f>
        <v>27</v>
      </c>
      <c r="AH8" s="169">
        <f ca="1">ทั่วไป!AH34</f>
        <v>52</v>
      </c>
      <c r="AI8" s="167">
        <f ca="1">ทั่วไป!AI34</f>
        <v>17</v>
      </c>
      <c r="AJ8" s="165">
        <f ca="1">ทั่วไป!AJ34</f>
        <v>17</v>
      </c>
      <c r="AK8" s="170">
        <f ca="1">ทั่วไป!AK34</f>
        <v>35</v>
      </c>
      <c r="AL8" s="164">
        <f ca="1">ทั่วไป!AL34</f>
        <v>1</v>
      </c>
      <c r="AM8" s="165">
        <f ca="1">ทั่วไป!AM34</f>
        <v>1</v>
      </c>
      <c r="AN8" s="169">
        <f ca="1">ทั่วไป!AN34</f>
        <v>2</v>
      </c>
      <c r="AO8" s="167">
        <f ca="1">ทั่วไป!AO34</f>
        <v>26</v>
      </c>
      <c r="AP8" s="165">
        <f ca="1">ทั่วไป!AP34</f>
        <v>26</v>
      </c>
      <c r="AQ8" s="170">
        <f ca="1">ทั่วไป!AQ34</f>
        <v>48</v>
      </c>
      <c r="AR8" s="164">
        <f ca="1">ทั่วไป!AR34</f>
        <v>11</v>
      </c>
      <c r="AS8" s="165">
        <f ca="1">ทั่วไป!AS34</f>
        <v>11</v>
      </c>
      <c r="AT8" s="169">
        <f ca="1">ทั่วไป!AT34</f>
        <v>12.5</v>
      </c>
      <c r="AU8" s="167">
        <f ca="1">ทั่วไป!AU34</f>
        <v>7</v>
      </c>
      <c r="AV8" s="165">
        <f ca="1">ทั่วไป!AV34</f>
        <v>8</v>
      </c>
      <c r="AW8" s="169">
        <f ca="1">ทั่วไป!AW34</f>
        <v>12</v>
      </c>
      <c r="AX8" s="589">
        <f t="shared" ca="1" si="0"/>
        <v>1366</v>
      </c>
      <c r="AY8" s="589">
        <f t="shared" ca="1" si="1"/>
        <v>1344</v>
      </c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</row>
    <row r="9" spans="1:80" s="148" customFormat="1" ht="13.5" thickBot="1">
      <c r="A9" s="171" t="s">
        <v>51</v>
      </c>
      <c r="B9" s="172">
        <f ca="1">ทั่วไป!B35</f>
        <v>1</v>
      </c>
      <c r="C9" s="173">
        <f ca="1">ทั่วไป!C35</f>
        <v>4</v>
      </c>
      <c r="D9" s="174">
        <f ca="1">ทั่วไป!D35</f>
        <v>1</v>
      </c>
      <c r="E9" s="175">
        <f ca="1">ทั่วไป!E35</f>
        <v>2</v>
      </c>
      <c r="F9" s="173">
        <f ca="1">ทั่วไป!F35</f>
        <v>2</v>
      </c>
      <c r="G9" s="176">
        <f ca="1">ทั่วไป!G35</f>
        <v>2</v>
      </c>
      <c r="H9" s="172">
        <f ca="1">ทั่วไป!H35</f>
        <v>13</v>
      </c>
      <c r="I9" s="173">
        <f ca="1">ทั่วไป!I35</f>
        <v>45</v>
      </c>
      <c r="J9" s="174">
        <f ca="1">ทั่วไป!J35</f>
        <v>13</v>
      </c>
      <c r="K9" s="175">
        <f ca="1">ทั่วไป!K35</f>
        <v>0</v>
      </c>
      <c r="L9" s="173">
        <f ca="1">ทั่วไป!L35</f>
        <v>0</v>
      </c>
      <c r="M9" s="176">
        <f ca="1">ทั่วไป!M35</f>
        <v>0</v>
      </c>
      <c r="N9" s="172">
        <f ca="1">ทั่วไป!N35</f>
        <v>8</v>
      </c>
      <c r="O9" s="173">
        <f ca="1">ทั่วไป!O35</f>
        <v>4</v>
      </c>
      <c r="P9" s="174">
        <f ca="1">ทั่วไป!P35</f>
        <v>8</v>
      </c>
      <c r="Q9" s="175">
        <f ca="1">ทั่วไป!Q35</f>
        <v>0</v>
      </c>
      <c r="R9" s="173">
        <f ca="1">ทั่วไป!R35</f>
        <v>0</v>
      </c>
      <c r="S9" s="176">
        <f ca="1">ทั่วไป!S35</f>
        <v>0</v>
      </c>
      <c r="T9" s="172">
        <f ca="1">ทั่วไป!T35</f>
        <v>0</v>
      </c>
      <c r="U9" s="173">
        <f ca="1">ทั่วไป!U35</f>
        <v>0</v>
      </c>
      <c r="V9" s="174">
        <f ca="1">ทั่วไป!V35</f>
        <v>0</v>
      </c>
      <c r="W9" s="175">
        <f ca="1">ทั่วไป!W35</f>
        <v>0</v>
      </c>
      <c r="X9" s="173">
        <f ca="1">ทั่วไป!X35</f>
        <v>0</v>
      </c>
      <c r="Y9" s="176">
        <f ca="1">ทั่วไป!Y35</f>
        <v>0</v>
      </c>
      <c r="Z9" s="172">
        <f ca="1">ทั่วไป!Z35</f>
        <v>3</v>
      </c>
      <c r="AA9" s="173">
        <f ca="1">ทั่วไป!AA35</f>
        <v>3</v>
      </c>
      <c r="AB9" s="174">
        <f ca="1">ทั่วไป!AB35</f>
        <v>3</v>
      </c>
      <c r="AC9" s="175">
        <f ca="1">ทั่วไป!AC35</f>
        <v>0</v>
      </c>
      <c r="AD9" s="173">
        <f ca="1">ทั่วไป!AD35</f>
        <v>0</v>
      </c>
      <c r="AE9" s="176">
        <f ca="1">ทั่วไป!AE35</f>
        <v>0</v>
      </c>
      <c r="AF9" s="172">
        <f ca="1">ทั่วไป!AF35</f>
        <v>1</v>
      </c>
      <c r="AG9" s="173">
        <f ca="1">ทั่วไป!AG35</f>
        <v>4</v>
      </c>
      <c r="AH9" s="174">
        <f ca="1">ทั่วไป!AH35</f>
        <v>1</v>
      </c>
      <c r="AI9" s="175">
        <f ca="1">ทั่วไป!AI35</f>
        <v>0</v>
      </c>
      <c r="AJ9" s="173">
        <f ca="1">ทั่วไป!AJ35</f>
        <v>0</v>
      </c>
      <c r="AK9" s="176">
        <f ca="1">ทั่วไป!AK35</f>
        <v>0</v>
      </c>
      <c r="AL9" s="172">
        <f ca="1">ทั่วไป!AL35</f>
        <v>0</v>
      </c>
      <c r="AM9" s="173">
        <f ca="1">ทั่วไป!AM35</f>
        <v>0</v>
      </c>
      <c r="AN9" s="174">
        <f ca="1">ทั่วไป!AN35</f>
        <v>0</v>
      </c>
      <c r="AO9" s="175">
        <f ca="1">ทั่วไป!AO35</f>
        <v>0</v>
      </c>
      <c r="AP9" s="173">
        <f ca="1">ทั่วไป!AP35</f>
        <v>0</v>
      </c>
      <c r="AQ9" s="176">
        <f ca="1">ทั่วไป!AQ35</f>
        <v>0</v>
      </c>
      <c r="AR9" s="172">
        <f ca="1">ทั่วไป!AR35</f>
        <v>0</v>
      </c>
      <c r="AS9" s="173">
        <f ca="1">ทั่วไป!AS35</f>
        <v>0</v>
      </c>
      <c r="AT9" s="174">
        <f ca="1">ทั่วไป!AT35</f>
        <v>0</v>
      </c>
      <c r="AU9" s="175">
        <f ca="1">ทั่วไป!AU35</f>
        <v>0</v>
      </c>
      <c r="AV9" s="173">
        <f ca="1">ทั่วไป!AV35</f>
        <v>0</v>
      </c>
      <c r="AW9" s="174">
        <f ca="1">ทั่วไป!AW35</f>
        <v>0</v>
      </c>
      <c r="AX9" s="589">
        <f t="shared" ca="1" si="0"/>
        <v>28</v>
      </c>
      <c r="AY9" s="589">
        <f t="shared" ca="1" si="1"/>
        <v>62</v>
      </c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</row>
    <row r="10" spans="1:80" s="184" customFormat="1" ht="13.5" thickBot="1">
      <c r="A10" s="177" t="s">
        <v>65</v>
      </c>
      <c r="B10" s="178">
        <f t="shared" ref="B10:AW10" ca="1" si="2">SUM(B5:B9)</f>
        <v>530</v>
      </c>
      <c r="C10" s="179">
        <f t="shared" ca="1" si="2"/>
        <v>639</v>
      </c>
      <c r="D10" s="598">
        <f t="shared" ca="1" si="2"/>
        <v>489.5</v>
      </c>
      <c r="E10" s="181">
        <f t="shared" ca="1" si="2"/>
        <v>1127</v>
      </c>
      <c r="F10" s="179">
        <f t="shared" ca="1" si="2"/>
        <v>1263</v>
      </c>
      <c r="G10" s="182">
        <f t="shared" ca="1" si="2"/>
        <v>1415</v>
      </c>
      <c r="H10" s="178">
        <f t="shared" ca="1" si="2"/>
        <v>1358</v>
      </c>
      <c r="I10" s="179">
        <f t="shared" ca="1" si="2"/>
        <v>1525</v>
      </c>
      <c r="J10" s="598">
        <f t="shared" ca="1" si="2"/>
        <v>1556</v>
      </c>
      <c r="K10" s="181">
        <f t="shared" ca="1" si="2"/>
        <v>1558</v>
      </c>
      <c r="L10" s="179">
        <f t="shared" ca="1" si="2"/>
        <v>1680</v>
      </c>
      <c r="M10" s="614">
        <f t="shared" ca="1" si="2"/>
        <v>2374</v>
      </c>
      <c r="N10" s="178">
        <f t="shared" ca="1" si="2"/>
        <v>4892</v>
      </c>
      <c r="O10" s="179">
        <f t="shared" ca="1" si="2"/>
        <v>5196</v>
      </c>
      <c r="P10" s="180">
        <f t="shared" ca="1" si="2"/>
        <v>5724.5</v>
      </c>
      <c r="Q10" s="181">
        <f t="shared" ca="1" si="2"/>
        <v>572</v>
      </c>
      <c r="R10" s="179">
        <f t="shared" ca="1" si="2"/>
        <v>474</v>
      </c>
      <c r="S10" s="614">
        <f t="shared" ca="1" si="2"/>
        <v>897.5</v>
      </c>
      <c r="T10" s="178">
        <f t="shared" ca="1" si="2"/>
        <v>787</v>
      </c>
      <c r="U10" s="179">
        <f t="shared" ca="1" si="2"/>
        <v>855</v>
      </c>
      <c r="V10" s="180">
        <f t="shared" ca="1" si="2"/>
        <v>778</v>
      </c>
      <c r="W10" s="181">
        <f t="shared" ca="1" si="2"/>
        <v>1018</v>
      </c>
      <c r="X10" s="179">
        <f t="shared" ca="1" si="2"/>
        <v>1185</v>
      </c>
      <c r="Y10" s="614">
        <f t="shared" ca="1" si="2"/>
        <v>1221.5</v>
      </c>
      <c r="Z10" s="178">
        <f t="shared" ca="1" si="2"/>
        <v>800</v>
      </c>
      <c r="AA10" s="179">
        <f t="shared" ca="1" si="2"/>
        <v>917</v>
      </c>
      <c r="AB10" s="180">
        <f t="shared" ca="1" si="2"/>
        <v>1130</v>
      </c>
      <c r="AC10" s="181">
        <f t="shared" ca="1" si="2"/>
        <v>655</v>
      </c>
      <c r="AD10" s="179">
        <f t="shared" ca="1" si="2"/>
        <v>757</v>
      </c>
      <c r="AE10" s="182">
        <f t="shared" ca="1" si="2"/>
        <v>743.5</v>
      </c>
      <c r="AF10" s="178">
        <f t="shared" ca="1" si="2"/>
        <v>281</v>
      </c>
      <c r="AG10" s="179">
        <f t="shared" ca="1" si="2"/>
        <v>464</v>
      </c>
      <c r="AH10" s="180">
        <f t="shared" ca="1" si="2"/>
        <v>424.5</v>
      </c>
      <c r="AI10" s="181">
        <f t="shared" ca="1" si="2"/>
        <v>100</v>
      </c>
      <c r="AJ10" s="179">
        <f t="shared" ca="1" si="2"/>
        <v>126</v>
      </c>
      <c r="AK10" s="182">
        <f t="shared" ca="1" si="2"/>
        <v>144.5</v>
      </c>
      <c r="AL10" s="178">
        <f t="shared" ca="1" si="2"/>
        <v>29</v>
      </c>
      <c r="AM10" s="179">
        <f t="shared" ca="1" si="2"/>
        <v>37</v>
      </c>
      <c r="AN10" s="180">
        <f t="shared" ca="1" si="2"/>
        <v>54.5</v>
      </c>
      <c r="AO10" s="181">
        <f t="shared" ca="1" si="2"/>
        <v>900</v>
      </c>
      <c r="AP10" s="179">
        <f t="shared" ca="1" si="2"/>
        <v>1215</v>
      </c>
      <c r="AQ10" s="182">
        <f t="shared" ca="1" si="2"/>
        <v>709.5</v>
      </c>
      <c r="AR10" s="178">
        <f t="shared" ca="1" si="2"/>
        <v>129</v>
      </c>
      <c r="AS10" s="179">
        <f t="shared" ca="1" si="2"/>
        <v>153</v>
      </c>
      <c r="AT10" s="180">
        <f t="shared" ca="1" si="2"/>
        <v>176</v>
      </c>
      <c r="AU10" s="181">
        <f t="shared" ca="1" si="2"/>
        <v>42</v>
      </c>
      <c r="AV10" s="179">
        <f t="shared" ca="1" si="2"/>
        <v>114</v>
      </c>
      <c r="AW10" s="180">
        <f t="shared" ca="1" si="2"/>
        <v>47</v>
      </c>
      <c r="AX10" s="590">
        <f t="shared" ref="AX10:AY10" ca="1" si="3">SUM(AX5:AX9)</f>
        <v>14778</v>
      </c>
      <c r="AY10" s="590">
        <f t="shared" ca="1" si="3"/>
        <v>16600</v>
      </c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  <c r="CA10" s="183"/>
      <c r="CB10" s="183"/>
    </row>
    <row r="11" spans="1:80" s="148" customFormat="1" ht="12.75">
      <c r="A11" s="155" t="s">
        <v>61</v>
      </c>
      <c r="B11" s="156"/>
      <c r="C11" s="157"/>
      <c r="D11" s="158"/>
      <c r="E11" s="159"/>
      <c r="F11" s="157"/>
      <c r="G11" s="160"/>
      <c r="H11" s="156"/>
      <c r="I11" s="157"/>
      <c r="J11" s="158"/>
      <c r="K11" s="159"/>
      <c r="L11" s="157"/>
      <c r="M11" s="160"/>
      <c r="N11" s="156"/>
      <c r="O11" s="157"/>
      <c r="P11" s="158"/>
      <c r="Q11" s="159"/>
      <c r="R11" s="157"/>
      <c r="S11" s="160"/>
      <c r="T11" s="156"/>
      <c r="U11" s="157"/>
      <c r="V11" s="158"/>
      <c r="W11" s="159"/>
      <c r="X11" s="157"/>
      <c r="Y11" s="160"/>
      <c r="Z11" s="156"/>
      <c r="AA11" s="157"/>
      <c r="AB11" s="158"/>
      <c r="AC11" s="159"/>
      <c r="AD11" s="157"/>
      <c r="AE11" s="160"/>
      <c r="AF11" s="156"/>
      <c r="AG11" s="157"/>
      <c r="AH11" s="158"/>
      <c r="AI11" s="159"/>
      <c r="AJ11" s="157"/>
      <c r="AK11" s="160"/>
      <c r="AL11" s="156"/>
      <c r="AM11" s="157"/>
      <c r="AN11" s="158"/>
      <c r="AO11" s="159"/>
      <c r="AP11" s="157"/>
      <c r="AQ11" s="160"/>
      <c r="AR11" s="156"/>
      <c r="AS11" s="157"/>
      <c r="AT11" s="158"/>
      <c r="AU11" s="159"/>
      <c r="AV11" s="157"/>
      <c r="AW11" s="158"/>
      <c r="AX11" s="591"/>
      <c r="AY11" s="591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</row>
    <row r="12" spans="1:80" s="148" customFormat="1" ht="12.75">
      <c r="A12" s="163" t="s">
        <v>66</v>
      </c>
      <c r="B12" s="164">
        <f ca="1">IFERROR(__xludf.DUMMYFUNCTION("IMPORTRANGE(""https://docs.google.com/spreadsheets/d/1u_5HmT3-RnSjbo8rH_K-Jubv3gAqQy2Z6s8R5ZGJCTc/edit#gid=1271166664"",""Total Report!D9"")"),3)</f>
        <v>3</v>
      </c>
      <c r="C12" s="165">
        <f ca="1">IFERROR(__xludf.DUMMYFUNCTION("IMPORTRANGE(""https://docs.google.com/spreadsheets/d/1u_5HmT3-RnSjbo8rH_K-Jubv3gAqQy2Z6s8R5ZGJCTc/edit#gid=1271166664"",""Total Report!E9"")"),3)</f>
        <v>3</v>
      </c>
      <c r="D12" s="169">
        <f ca="1">IFERROR(__xludf.DUMMYFUNCTION("IMPORTRANGE(""https://docs.google.com/spreadsheets/d/1u_5HmT3-RnSjbo8rH_K-Jubv3gAqQy2Z6s8R5ZGJCTc/edit#gid=1271166664"",""Total Report!F9"")"),15)</f>
        <v>15</v>
      </c>
      <c r="E12" s="167">
        <f ca="1">IFERROR(__xludf.DUMMYFUNCTION("IMPORTRANGE(""https://docs.google.com/spreadsheets/d/1u_5HmT3-RnSjbo8rH_K-Jubv3gAqQy2Z6s8R5ZGJCTc/edit#gid=1271166664"",""Total Report!G9"")"),4)</f>
        <v>4</v>
      </c>
      <c r="F12" s="165">
        <f ca="1">IFERROR(__xludf.DUMMYFUNCTION("IMPORTRANGE(""https://docs.google.com/spreadsheets/d/1u_5HmT3-RnSjbo8rH_K-Jubv3gAqQy2Z6s8R5ZGJCTc/edit#gid=1271166664"",""Total Report!H9"")"),4)</f>
        <v>4</v>
      </c>
      <c r="G12" s="170">
        <f ca="1">IFERROR(__xludf.DUMMYFUNCTION("IMPORTRANGE(""https://docs.google.com/spreadsheets/d/1u_5HmT3-RnSjbo8rH_K-Jubv3gAqQy2Z6s8R5ZGJCTc/edit#gid=1271166664"",""Total Report!I9"")"),20)</f>
        <v>20</v>
      </c>
      <c r="H12" s="164">
        <f ca="1">IFERROR(__xludf.DUMMYFUNCTION("IMPORTRANGE(""https://docs.google.com/spreadsheets/d/1u_5HmT3-RnSjbo8rH_K-Jubv3gAqQy2Z6s8R5ZGJCTc/edit#gid=1271166664"",""Total Report!J9"")"),1)</f>
        <v>1</v>
      </c>
      <c r="I12" s="165">
        <f ca="1">IFERROR(__xludf.DUMMYFUNCTION("IMPORTRANGE(""https://docs.google.com/spreadsheets/d/1u_5HmT3-RnSjbo8rH_K-Jubv3gAqQy2Z6s8R5ZGJCTc/edit#gid=1271166664"",""Total Report!K9"")"),1)</f>
        <v>1</v>
      </c>
      <c r="J12" s="169">
        <f ca="1">IFERROR(__xludf.DUMMYFUNCTION("IMPORTRANGE(""https://docs.google.com/spreadsheets/d/1u_5HmT3-RnSjbo8rH_K-Jubv3gAqQy2Z6s8R5ZGJCTc/edit#gid=1271166664"",""Total Report!L9"")"),5)</f>
        <v>5</v>
      </c>
      <c r="K12" s="167">
        <f ca="1">IFERROR(__xludf.DUMMYFUNCTION("IMPORTRANGE(""https://docs.google.com/spreadsheets/d/1u_5HmT3-RnSjbo8rH_K-Jubv3gAqQy2Z6s8R5ZGJCTc/edit#gid=1271166664"",""Total Report!M9"")"),0)</f>
        <v>0</v>
      </c>
      <c r="L12" s="165">
        <f ca="1">IFERROR(__xludf.DUMMYFUNCTION("IMPORTRANGE(""https://docs.google.com/spreadsheets/d/1u_5HmT3-RnSjbo8rH_K-Jubv3gAqQy2Z6s8R5ZGJCTc/edit#gid=1271166664"",""Total Report!N9"")"),0)</f>
        <v>0</v>
      </c>
      <c r="M12" s="170">
        <f ca="1">IFERROR(__xludf.DUMMYFUNCTION("IMPORTRANGE(""https://docs.google.com/spreadsheets/d/1u_5HmT3-RnSjbo8rH_K-Jubv3gAqQy2Z6s8R5ZGJCTc/edit#gid=1271166664"",""Total Report!O9"")"),0)</f>
        <v>0</v>
      </c>
      <c r="N12" s="164">
        <f ca="1">IFERROR(__xludf.DUMMYFUNCTION("IMPORTRANGE(""https://docs.google.com/spreadsheets/d/1u_5HmT3-RnSjbo8rH_K-Jubv3gAqQy2Z6s8R5ZGJCTc/edit#gid=1271166664"",""Total Report!P9"")"),5)</f>
        <v>5</v>
      </c>
      <c r="O12" s="165">
        <f ca="1">IFERROR(__xludf.DUMMYFUNCTION("IMPORTRANGE(""https://docs.google.com/spreadsheets/d/1u_5HmT3-RnSjbo8rH_K-Jubv3gAqQy2Z6s8R5ZGJCTc/edit#gid=1271166664"",""Total Report!Q9"")"),5)</f>
        <v>5</v>
      </c>
      <c r="P12" s="169">
        <f ca="1">IFERROR(__xludf.DUMMYFUNCTION("IMPORTRANGE(""https://docs.google.com/spreadsheets/d/1u_5HmT3-RnSjbo8rH_K-Jubv3gAqQy2Z6s8R5ZGJCTc/edit#gid=1271166664"",""Total Report!R9"")"),25)</f>
        <v>25</v>
      </c>
      <c r="Q12" s="167">
        <f ca="1">IFERROR(__xludf.DUMMYFUNCTION("IMPORTRANGE(""https://docs.google.com/spreadsheets/d/1u_5HmT3-RnSjbo8rH_K-Jubv3gAqQy2Z6s8R5ZGJCTc/edit#gid=1271166664"",""Total Report!S9"")"),0)</f>
        <v>0</v>
      </c>
      <c r="R12" s="165">
        <f ca="1">IFERROR(__xludf.DUMMYFUNCTION("IMPORTRANGE(""https://docs.google.com/spreadsheets/d/1u_5HmT3-RnSjbo8rH_K-Jubv3gAqQy2Z6s8R5ZGJCTc/edit#gid=1271166664"",""Total Report!T9"")"),0)</f>
        <v>0</v>
      </c>
      <c r="S12" s="170">
        <f ca="1">IFERROR(__xludf.DUMMYFUNCTION("IMPORTRANGE(""https://docs.google.com/spreadsheets/d/1u_5HmT3-RnSjbo8rH_K-Jubv3gAqQy2Z6s8R5ZGJCTc/edit#gid=1271166664"",""Total Report!U9"")"),0)</f>
        <v>0</v>
      </c>
      <c r="T12" s="164">
        <f ca="1">IFERROR(__xludf.DUMMYFUNCTION("IMPORTRANGE(""https://docs.google.com/spreadsheets/d/1u_5HmT3-RnSjbo8rH_K-Jubv3gAqQy2Z6s8R5ZGJCTc/edit#gid=1271166664"",""Total Report!V9"")"),1)</f>
        <v>1</v>
      </c>
      <c r="U12" s="165">
        <f ca="1">IFERROR(__xludf.DUMMYFUNCTION("IMPORTRANGE(""https://docs.google.com/spreadsheets/d/1u_5HmT3-RnSjbo8rH_K-Jubv3gAqQy2Z6s8R5ZGJCTc/edit#gid=1271166664"",""Total Report!W9"")"),1)</f>
        <v>1</v>
      </c>
      <c r="V12" s="169">
        <f ca="1">IFERROR(__xludf.DUMMYFUNCTION("IMPORTRANGE(""https://docs.google.com/spreadsheets/d/1u_5HmT3-RnSjbo8rH_K-Jubv3gAqQy2Z6s8R5ZGJCTc/edit#gid=1271166664"",""Total Report!X9"")"),5)</f>
        <v>5</v>
      </c>
      <c r="W12" s="167">
        <f ca="1">IFERROR(__xludf.DUMMYFUNCTION("IMPORTRANGE(""https://docs.google.com/spreadsheets/d/1u_5HmT3-RnSjbo8rH_K-Jubv3gAqQy2Z6s8R5ZGJCTc/edit#gid=1271166664"",""Total Report!Y9"")"),1)</f>
        <v>1</v>
      </c>
      <c r="X12" s="165">
        <f ca="1">IFERROR(__xludf.DUMMYFUNCTION("IMPORTRANGE(""https://docs.google.com/spreadsheets/d/1u_5HmT3-RnSjbo8rH_K-Jubv3gAqQy2Z6s8R5ZGJCTc/edit#gid=1271166664"",""Total Report!Z9"")"),1)</f>
        <v>1</v>
      </c>
      <c r="Y12" s="170">
        <f ca="1">IFERROR(__xludf.DUMMYFUNCTION("IMPORTRANGE(""https://docs.google.com/spreadsheets/d/1u_5HmT3-RnSjbo8rH_K-Jubv3gAqQy2Z6s8R5ZGJCTc/edit#gid=1271166664"",""Total Report!AA9"")"),5)</f>
        <v>5</v>
      </c>
      <c r="Z12" s="164">
        <f ca="1">IFERROR(__xludf.DUMMYFUNCTION("IMPORTRANGE(""https://docs.google.com/spreadsheets/d/1u_5HmT3-RnSjbo8rH_K-Jubv3gAqQy2Z6s8R5ZGJCTc/edit#gid=1271166664"",""Total Report!AB9"")"),0)</f>
        <v>0</v>
      </c>
      <c r="AA12" s="165">
        <f ca="1">IFERROR(__xludf.DUMMYFUNCTION("IMPORTRANGE(""https://docs.google.com/spreadsheets/d/1u_5HmT3-RnSjbo8rH_K-Jubv3gAqQy2Z6s8R5ZGJCTc/edit#gid=1271166664"",""Total Report!AC9"")"),0)</f>
        <v>0</v>
      </c>
      <c r="AB12" s="169">
        <f ca="1">IFERROR(__xludf.DUMMYFUNCTION("IMPORTRANGE(""https://docs.google.com/spreadsheets/d/1u_5HmT3-RnSjbo8rH_K-Jubv3gAqQy2Z6s8R5ZGJCTc/edit#gid=1271166664"",""Total Report!AD9"")"),0)</f>
        <v>0</v>
      </c>
      <c r="AC12" s="167">
        <f ca="1">IFERROR(__xludf.DUMMYFUNCTION("IMPORTRANGE(""https://docs.google.com/spreadsheets/d/1u_5HmT3-RnSjbo8rH_K-Jubv3gAqQy2Z6s8R5ZGJCTc/edit#gid=1271166664"",""Total Report!AE9"")"),2)</f>
        <v>2</v>
      </c>
      <c r="AD12" s="165">
        <f ca="1">IFERROR(__xludf.DUMMYFUNCTION("IMPORTRANGE(""https://docs.google.com/spreadsheets/d/1u_5HmT3-RnSjbo8rH_K-Jubv3gAqQy2Z6s8R5ZGJCTc/edit#gid=1271166664"",""Total Report!AF9"")"),1)</f>
        <v>1</v>
      </c>
      <c r="AE12" s="170">
        <f ca="1">IFERROR(__xludf.DUMMYFUNCTION("IMPORTRANGE(""https://docs.google.com/spreadsheets/d/1u_5HmT3-RnSjbo8rH_K-Jubv3gAqQy2Z6s8R5ZGJCTc/edit#gid=1271166664"",""Total Report!AG9"")"),10)</f>
        <v>10</v>
      </c>
      <c r="AF12" s="164">
        <f ca="1">IFERROR(__xludf.DUMMYFUNCTION("IMPORTRANGE(""https://docs.google.com/spreadsheets/d/1u_5HmT3-RnSjbo8rH_K-Jubv3gAqQy2Z6s8R5ZGJCTc/edit#gid=1271166664"",""Total Report!AH9"")"),0)</f>
        <v>0</v>
      </c>
      <c r="AG12" s="165">
        <f ca="1">IFERROR(__xludf.DUMMYFUNCTION("IMPORTRANGE(""https://docs.google.com/spreadsheets/d/1u_5HmT3-RnSjbo8rH_K-Jubv3gAqQy2Z6s8R5ZGJCTc/edit#gid=1271166664"",""Total Report!AI9"")"),0)</f>
        <v>0</v>
      </c>
      <c r="AH12" s="169">
        <f ca="1">IFERROR(__xludf.DUMMYFUNCTION("IMPORTRANGE(""https://docs.google.com/spreadsheets/d/1u_5HmT3-RnSjbo8rH_K-Jubv3gAqQy2Z6s8R5ZGJCTc/edit#gid=1271166664"",""Total Report!AJ9"")"),0)</f>
        <v>0</v>
      </c>
      <c r="AI12" s="167">
        <f ca="1">IFERROR(__xludf.DUMMYFUNCTION("IMPORTRANGE(""https://docs.google.com/spreadsheets/d/1u_5HmT3-RnSjbo8rH_K-Jubv3gAqQy2Z6s8R5ZGJCTc/edit#gid=1271166664"",""Total Report!AK9"")"),6)</f>
        <v>6</v>
      </c>
      <c r="AJ12" s="165">
        <f ca="1">IFERROR(__xludf.DUMMYFUNCTION("IMPORTRANGE(""https://docs.google.com/spreadsheets/d/1u_5HmT3-RnSjbo8rH_K-Jubv3gAqQy2Z6s8R5ZGJCTc/edit#gid=1271166664"",""Total Report!AL9"")"),7)</f>
        <v>7</v>
      </c>
      <c r="AK12" s="170">
        <f ca="1">IFERROR(__xludf.DUMMYFUNCTION("IMPORTRANGE(""https://docs.google.com/spreadsheets/d/1u_5HmT3-RnSjbo8rH_K-Jubv3gAqQy2Z6s8R5ZGJCTc/edit#gid=1271166664"",""Total Report!AM9"")"),30)</f>
        <v>30</v>
      </c>
      <c r="AL12" s="164">
        <f ca="1">IFERROR(__xludf.DUMMYFUNCTION("IMPORTRANGE(""https://docs.google.com/spreadsheets/d/1u_5HmT3-RnSjbo8rH_K-Jubv3gAqQy2Z6s8R5ZGJCTc/edit#gid=1271166664"",""Total Report!AN9"")"),0)</f>
        <v>0</v>
      </c>
      <c r="AM12" s="165">
        <f ca="1">IFERROR(__xludf.DUMMYFUNCTION("IMPORTRANGE(""https://docs.google.com/spreadsheets/d/1u_5HmT3-RnSjbo8rH_K-Jubv3gAqQy2Z6s8R5ZGJCTc/edit#gid=1271166664"",""Total Report!AO9"")"),0)</f>
        <v>0</v>
      </c>
      <c r="AN12" s="169">
        <f ca="1">IFERROR(__xludf.DUMMYFUNCTION("IMPORTRANGE(""https://docs.google.com/spreadsheets/d/1u_5HmT3-RnSjbo8rH_K-Jubv3gAqQy2Z6s8R5ZGJCTc/edit#gid=1271166664"",""Total Report!AP9"")"),0)</f>
        <v>0</v>
      </c>
      <c r="AO12" s="167">
        <f ca="1">IFERROR(__xludf.DUMMYFUNCTION("IMPORTRANGE(""https://docs.google.com/spreadsheets/d/1u_5HmT3-RnSjbo8rH_K-Jubv3gAqQy2Z6s8R5ZGJCTc/edit#gid=1271166664"",""Total Report!AQ9"")"),0)</f>
        <v>0</v>
      </c>
      <c r="AP12" s="165">
        <f ca="1">IFERROR(__xludf.DUMMYFUNCTION("IMPORTRANGE(""https://docs.google.com/spreadsheets/d/1u_5HmT3-RnSjbo8rH_K-Jubv3gAqQy2Z6s8R5ZGJCTc/edit#gid=1271166664"",""Total Report!AR9"")"),0)</f>
        <v>0</v>
      </c>
      <c r="AQ12" s="170">
        <f ca="1">IFERROR(__xludf.DUMMYFUNCTION("IMPORTRANGE(""https://docs.google.com/spreadsheets/d/1u_5HmT3-RnSjbo8rH_K-Jubv3gAqQy2Z6s8R5ZGJCTc/edit#gid=1271166664"",""Total Report!AS9"")"),0)</f>
        <v>0</v>
      </c>
      <c r="AR12" s="164">
        <f ca="1">IFERROR(__xludf.DUMMYFUNCTION("IMPORTRANGE(""https://docs.google.com/spreadsheets/d/1u_5HmT3-RnSjbo8rH_K-Jubv3gAqQy2Z6s8R5ZGJCTc/edit#gid=1271166664"",""Total Report!AT9"")"),2)</f>
        <v>2</v>
      </c>
      <c r="AS12" s="165">
        <f ca="1">IFERROR(__xludf.DUMMYFUNCTION("IMPORTRANGE(""https://docs.google.com/spreadsheets/d/1u_5HmT3-RnSjbo8rH_K-Jubv3gAqQy2Z6s8R5ZGJCTc/edit#gid=1271166664"",""Total Report!AU9"")"),2)</f>
        <v>2</v>
      </c>
      <c r="AT12" s="169">
        <f ca="1">IFERROR(__xludf.DUMMYFUNCTION("IMPORTRANGE(""https://docs.google.com/spreadsheets/d/1u_5HmT3-RnSjbo8rH_K-Jubv3gAqQy2Z6s8R5ZGJCTc/edit#gid=1271166664"",""Total Report!AV9"")"),10)</f>
        <v>10</v>
      </c>
      <c r="AU12" s="167">
        <f ca="1">IFERROR(__xludf.DUMMYFUNCTION("IMPORTRANGE(""https://docs.google.com/spreadsheets/d/1u_5HmT3-RnSjbo8rH_K-Jubv3gAqQy2Z6s8R5ZGJCTc/edit#gid=1271166664"",""Total Report!AW9"")"),0)</f>
        <v>0</v>
      </c>
      <c r="AV12" s="165">
        <f ca="1">IFERROR(__xludf.DUMMYFUNCTION("IMPORTRANGE(""https://docs.google.com/spreadsheets/d/1u_5HmT3-RnSjbo8rH_K-Jubv3gAqQy2Z6s8R5ZGJCTc/edit#gid=1271166664"",""Total Report!AX9"")"),0)</f>
        <v>0</v>
      </c>
      <c r="AW12" s="169">
        <f ca="1">IFERROR(__xludf.DUMMYFUNCTION("IMPORTRANGE(""https://docs.google.com/spreadsheets/d/1u_5HmT3-RnSjbo8rH_K-Jubv3gAqQy2Z6s8R5ZGJCTc/edit#gid=1271166664"",""Total Report!AY9"")"),0)</f>
        <v>0</v>
      </c>
      <c r="AX12" s="589">
        <f ca="1">SUM(B12,E12,H12,K12,N12,Q12,T12,W12,Z12,AC12,AF12,AI12,AL12,AO12,AR12,AU12)</f>
        <v>25</v>
      </c>
      <c r="AY12" s="589">
        <f ca="1">SUM(C12,F12,I12,L12,O12,R12,U12,X12,AA12,AD12,AG12,AJ12,AM12,AP12,AS12,AV12)</f>
        <v>25</v>
      </c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</row>
    <row r="13" spans="1:80" s="148" customFormat="1" ht="12.75">
      <c r="A13" s="163" t="s">
        <v>67</v>
      </c>
      <c r="B13" s="185">
        <f ca="1">IFERROR(__xludf.DUMMYFUNCTION("IMPORTRANGE(""https://docs.google.com/spreadsheets/d/1u_5HmT3-RnSjbo8rH_K-Jubv3gAqQy2Z6s8R5ZGJCTc/edit#gid=1271166664"",""Total Report!D17"")"),16)</f>
        <v>16</v>
      </c>
      <c r="C13" s="186">
        <f ca="1">IFERROR(__xludf.DUMMYFUNCTION("IMPORTRANGE(""https://docs.google.com/spreadsheets/d/1u_5HmT3-RnSjbo8rH_K-Jubv3gAqQy2Z6s8R5ZGJCTc/edit#gid=1271166664"",""Total Report!E17"")"),17)</f>
        <v>17</v>
      </c>
      <c r="D13" s="187">
        <f ca="1">IFERROR(__xludf.DUMMYFUNCTION("IMPORTRANGE(""https://docs.google.com/spreadsheets/d/1u_5HmT3-RnSjbo8rH_K-Jubv3gAqQy2Z6s8R5ZGJCTc/edit#gid=1271166664"",""Total Report!F17"")"),54)</f>
        <v>54</v>
      </c>
      <c r="E13" s="188">
        <f ca="1">IFERROR(__xludf.DUMMYFUNCTION("IMPORTRANGE(""https://docs.google.com/spreadsheets/d/1u_5HmT3-RnSjbo8rH_K-Jubv3gAqQy2Z6s8R5ZGJCTc/edit#gid=1271166664"",""Total Report!G17"")"),7)</f>
        <v>7</v>
      </c>
      <c r="F13" s="186">
        <f ca="1">IFERROR(__xludf.DUMMYFUNCTION("IMPORTRANGE(""https://docs.google.com/spreadsheets/d/1u_5HmT3-RnSjbo8rH_K-Jubv3gAqQy2Z6s8R5ZGJCTc/edit#gid=1271166664"",""Total Report!H17"")"),7)</f>
        <v>7</v>
      </c>
      <c r="G13" s="189">
        <f ca="1">IFERROR(__xludf.DUMMYFUNCTION("IMPORTRANGE(""https://docs.google.com/spreadsheets/d/1u_5HmT3-RnSjbo8rH_K-Jubv3gAqQy2Z6s8R5ZGJCTc/edit#gid=1271166664"",""Total Report!I17"")"),28)</f>
        <v>28</v>
      </c>
      <c r="H13" s="185">
        <f ca="1">IFERROR(__xludf.DUMMYFUNCTION("IMPORTRANGE(""https://docs.google.com/spreadsheets/d/1u_5HmT3-RnSjbo8rH_K-Jubv3gAqQy2Z6s8R5ZGJCTc/edit#gid=1271166664"",""Total Report!J17"")"),5)</f>
        <v>5</v>
      </c>
      <c r="I13" s="186">
        <f ca="1">IFERROR(__xludf.DUMMYFUNCTION("IMPORTRANGE(""https://docs.google.com/spreadsheets/d/1u_5HmT3-RnSjbo8rH_K-Jubv3gAqQy2Z6s8R5ZGJCTc/edit#gid=1271166664"",""Total Report!K17"")"),6)</f>
        <v>6</v>
      </c>
      <c r="J13" s="187">
        <f ca="1">IFERROR(__xludf.DUMMYFUNCTION("IMPORTRANGE(""https://docs.google.com/spreadsheets/d/1u_5HmT3-RnSjbo8rH_K-Jubv3gAqQy2Z6s8R5ZGJCTc/edit#gid=1271166664"",""Total Report!L17"")"),18)</f>
        <v>18</v>
      </c>
      <c r="K13" s="188">
        <f ca="1">IFERROR(__xludf.DUMMYFUNCTION("IMPORTRANGE(""https://docs.google.com/spreadsheets/d/1u_5HmT3-RnSjbo8rH_K-Jubv3gAqQy2Z6s8R5ZGJCTc/edit#gid=1271166664"",""Total Report!M17"")"),1)</f>
        <v>1</v>
      </c>
      <c r="L13" s="186">
        <f ca="1">IFERROR(__xludf.DUMMYFUNCTION("IMPORTRANGE(""https://docs.google.com/spreadsheets/d/1u_5HmT3-RnSjbo8rH_K-Jubv3gAqQy2Z6s8R5ZGJCTc/edit#gid=1271166664"",""Total Report!N17"")"),1)</f>
        <v>1</v>
      </c>
      <c r="M13" s="189">
        <f ca="1">IFERROR(__xludf.DUMMYFUNCTION("IMPORTRANGE(""https://docs.google.com/spreadsheets/d/1u_5HmT3-RnSjbo8rH_K-Jubv3gAqQy2Z6s8R5ZGJCTc/edit#gid=1271166664"",""Total Report!O17"")"),4)</f>
        <v>4</v>
      </c>
      <c r="N13" s="185">
        <f ca="1">IFERROR(__xludf.DUMMYFUNCTION("IMPORTRANGE(""https://docs.google.com/spreadsheets/d/1u_5HmT3-RnSjbo8rH_K-Jubv3gAqQy2Z6s8R5ZGJCTc/edit#gid=1271166664"",""Total Report!P17"")"),17)</f>
        <v>17</v>
      </c>
      <c r="O13" s="186">
        <f ca="1">IFERROR(__xludf.DUMMYFUNCTION("IMPORTRANGE(""https://docs.google.com/spreadsheets/d/1u_5HmT3-RnSjbo8rH_K-Jubv3gAqQy2Z6s8R5ZGJCTc/edit#gid=1271166664"",""Total Report!Q17"")"),17)</f>
        <v>17</v>
      </c>
      <c r="P13" s="187">
        <f ca="1">IFERROR(__xludf.DUMMYFUNCTION("IMPORTRANGE(""https://docs.google.com/spreadsheets/d/1u_5HmT3-RnSjbo8rH_K-Jubv3gAqQy2Z6s8R5ZGJCTc/edit#gid=1271166664"",""Total Report!R17"")"),76)</f>
        <v>76</v>
      </c>
      <c r="Q13" s="188">
        <f ca="1">IFERROR(__xludf.DUMMYFUNCTION("IMPORTRANGE(""https://docs.google.com/spreadsheets/d/1u_5HmT3-RnSjbo8rH_K-Jubv3gAqQy2Z6s8R5ZGJCTc/edit#gid=1271166664"",""Total Report!S17"")"),6)</f>
        <v>6</v>
      </c>
      <c r="R13" s="186">
        <f ca="1">IFERROR(__xludf.DUMMYFUNCTION("IMPORTRANGE(""https://docs.google.com/spreadsheets/d/1u_5HmT3-RnSjbo8rH_K-Jubv3gAqQy2Z6s8R5ZGJCTc/edit#gid=1271166664"",""Total Report!T17"")"),6)</f>
        <v>6</v>
      </c>
      <c r="S13" s="189">
        <f ca="1">IFERROR(__xludf.DUMMYFUNCTION("IMPORTRANGE(""https://docs.google.com/spreadsheets/d/1u_5HmT3-RnSjbo8rH_K-Jubv3gAqQy2Z6s8R5ZGJCTc/edit#gid=1271166664"",""Total Report!U17"")"),24)</f>
        <v>24</v>
      </c>
      <c r="T13" s="185">
        <f ca="1">IFERROR(__xludf.DUMMYFUNCTION("IMPORTRANGE(""https://docs.google.com/spreadsheets/d/1u_5HmT3-RnSjbo8rH_K-Jubv3gAqQy2Z6s8R5ZGJCTc/edit#gid=1271166664"",""Total Report!V17"")"),3)</f>
        <v>3</v>
      </c>
      <c r="U13" s="186">
        <f ca="1">IFERROR(__xludf.DUMMYFUNCTION("IMPORTRANGE(""https://docs.google.com/spreadsheets/d/1u_5HmT3-RnSjbo8rH_K-Jubv3gAqQy2Z6s8R5ZGJCTc/edit#gid=1271166664"",""Total Report!W17"")"),2)</f>
        <v>2</v>
      </c>
      <c r="V13" s="187">
        <f ca="1">IFERROR(__xludf.DUMMYFUNCTION("IMPORTRANGE(""https://docs.google.com/spreadsheets/d/1u_5HmT3-RnSjbo8rH_K-Jubv3gAqQy2Z6s8R5ZGJCTc/edit#gid=1271166664"",""Total Report!X17"")"),11)</f>
        <v>11</v>
      </c>
      <c r="W13" s="188">
        <f ca="1">IFERROR(__xludf.DUMMYFUNCTION("IMPORTRANGE(""https://docs.google.com/spreadsheets/d/1u_5HmT3-RnSjbo8rH_K-Jubv3gAqQy2Z6s8R5ZGJCTc/edit#gid=1271166664"",""Total Report!Y17"")"),3)</f>
        <v>3</v>
      </c>
      <c r="X13" s="186">
        <f ca="1">IFERROR(__xludf.DUMMYFUNCTION("IMPORTRANGE(""https://docs.google.com/spreadsheets/d/1u_5HmT3-RnSjbo8rH_K-Jubv3gAqQy2Z6s8R5ZGJCTc/edit#gid=1271166664"",""Total Report!Z17"")"),4)</f>
        <v>4</v>
      </c>
      <c r="Y13" s="189">
        <f ca="1">IFERROR(__xludf.DUMMYFUNCTION("IMPORTRANGE(""https://docs.google.com/spreadsheets/d/1u_5HmT3-RnSjbo8rH_K-Jubv3gAqQy2Z6s8R5ZGJCTc/edit#gid=1271166664"",""Total Report!AA17"")"),11)</f>
        <v>11</v>
      </c>
      <c r="Z13" s="185">
        <f ca="1">IFERROR(__xludf.DUMMYFUNCTION("IMPORTRANGE(""https://docs.google.com/spreadsheets/d/1u_5HmT3-RnSjbo8rH_K-Jubv3gAqQy2Z6s8R5ZGJCTc/edit#gid=1271166664"",""Total Report!AB17"")"),2)</f>
        <v>2</v>
      </c>
      <c r="AA13" s="186">
        <f ca="1">IFERROR(__xludf.DUMMYFUNCTION("IMPORTRANGE(""https://docs.google.com/spreadsheets/d/1u_5HmT3-RnSjbo8rH_K-Jubv3gAqQy2Z6s8R5ZGJCTc/edit#gid=1271166664"",""Total Report!AC17"")"),2)</f>
        <v>2</v>
      </c>
      <c r="AB13" s="187">
        <f ca="1">IFERROR(__xludf.DUMMYFUNCTION("IMPORTRANGE(""https://docs.google.com/spreadsheets/d/1u_5HmT3-RnSjbo8rH_K-Jubv3gAqQy2Z6s8R5ZGJCTc/edit#gid=1271166664"",""Total Report!AD17"")"),8)</f>
        <v>8</v>
      </c>
      <c r="AC13" s="188">
        <f ca="1">IFERROR(__xludf.DUMMYFUNCTION("IMPORTRANGE(""https://docs.google.com/spreadsheets/d/1u_5HmT3-RnSjbo8rH_K-Jubv3gAqQy2Z6s8R5ZGJCTc/edit#gid=1271166664"",""Total Report!AE17"")"),16)</f>
        <v>16</v>
      </c>
      <c r="AD13" s="186">
        <f ca="1">IFERROR(__xludf.DUMMYFUNCTION("IMPORTRANGE(""https://docs.google.com/spreadsheets/d/1u_5HmT3-RnSjbo8rH_K-Jubv3gAqQy2Z6s8R5ZGJCTc/edit#gid=1271166664"",""Total Report!AF17"")"),20)</f>
        <v>20</v>
      </c>
      <c r="AE13" s="189">
        <f ca="1">IFERROR(__xludf.DUMMYFUNCTION("IMPORTRANGE(""https://docs.google.com/spreadsheets/d/1u_5HmT3-RnSjbo8rH_K-Jubv3gAqQy2Z6s8R5ZGJCTc/edit#gid=1271166664"",""Total Report!AG17"")"),68)</f>
        <v>68</v>
      </c>
      <c r="AF13" s="185">
        <f ca="1">IFERROR(__xludf.DUMMYFUNCTION("IMPORTRANGE(""https://docs.google.com/spreadsheets/d/1u_5HmT3-RnSjbo8rH_K-Jubv3gAqQy2Z6s8R5ZGJCTc/edit#gid=1271166664"",""Total Report!AH17"")"),16)</f>
        <v>16</v>
      </c>
      <c r="AG13" s="186">
        <f ca="1">IFERROR(__xludf.DUMMYFUNCTION("IMPORTRANGE(""https://docs.google.com/spreadsheets/d/1u_5HmT3-RnSjbo8rH_K-Jubv3gAqQy2Z6s8R5ZGJCTc/edit#gid=1271166664"",""Total Report!AI17"")"),15)</f>
        <v>15</v>
      </c>
      <c r="AH13" s="187">
        <f ca="1">IFERROR(__xludf.DUMMYFUNCTION("IMPORTRANGE(""https://docs.google.com/spreadsheets/d/1u_5HmT3-RnSjbo8rH_K-Jubv3gAqQy2Z6s8R5ZGJCTc/edit#gid=1271166664"",""Total Report!AJ17"")"),71)</f>
        <v>71</v>
      </c>
      <c r="AI13" s="188">
        <f ca="1">IFERROR(__xludf.DUMMYFUNCTION("IMPORTRANGE(""https://docs.google.com/spreadsheets/d/1u_5HmT3-RnSjbo8rH_K-Jubv3gAqQy2Z6s8R5ZGJCTc/edit#gid=1271166664"",""Total Report!AK17"")"),13)</f>
        <v>13</v>
      </c>
      <c r="AJ13" s="186">
        <f ca="1">IFERROR(__xludf.DUMMYFUNCTION("IMPORTRANGE(""https://docs.google.com/spreadsheets/d/1u_5HmT3-RnSjbo8rH_K-Jubv3gAqQy2Z6s8R5ZGJCTc/edit#gid=1271166664"",""Total Report!AL17"")"),14)</f>
        <v>14</v>
      </c>
      <c r="AK13" s="189">
        <f ca="1">IFERROR(__xludf.DUMMYFUNCTION("IMPORTRANGE(""https://docs.google.com/spreadsheets/d/1u_5HmT3-RnSjbo8rH_K-Jubv3gAqQy2Z6s8R5ZGJCTc/edit#gid=1271166664"",""Total Report!AM17"")"),38)</f>
        <v>38</v>
      </c>
      <c r="AL13" s="185">
        <f ca="1">IFERROR(__xludf.DUMMYFUNCTION("IMPORTRANGE(""https://docs.google.com/spreadsheets/d/1u_5HmT3-RnSjbo8rH_K-Jubv3gAqQy2Z6s8R5ZGJCTc/edit#gid=1271166664"",""Total Report!AN17"")"),5)</f>
        <v>5</v>
      </c>
      <c r="AM13" s="186">
        <f ca="1">IFERROR(__xludf.DUMMYFUNCTION("IMPORTRANGE(""https://docs.google.com/spreadsheets/d/1u_5HmT3-RnSjbo8rH_K-Jubv3gAqQy2Z6s8R5ZGJCTc/edit#gid=1271166664"",""Total Report!AO17"")"),3)</f>
        <v>3</v>
      </c>
      <c r="AN13" s="187">
        <f ca="1">IFERROR(__xludf.DUMMYFUNCTION("IMPORTRANGE(""https://docs.google.com/spreadsheets/d/1u_5HmT3-RnSjbo8rH_K-Jubv3gAqQy2Z6s8R5ZGJCTc/edit#gid=1271166664"",""Total Report!AP17"")"),25)</f>
        <v>25</v>
      </c>
      <c r="AO13" s="188">
        <f ca="1">IFERROR(__xludf.DUMMYFUNCTION("IMPORTRANGE(""https://docs.google.com/spreadsheets/d/1u_5HmT3-RnSjbo8rH_K-Jubv3gAqQy2Z6s8R5ZGJCTc/edit#gid=1271166664"",""Total Report!AQ17"")"),3)</f>
        <v>3</v>
      </c>
      <c r="AP13" s="186">
        <f ca="1">IFERROR(__xludf.DUMMYFUNCTION("IMPORTRANGE(""https://docs.google.com/spreadsheets/d/1u_5HmT3-RnSjbo8rH_K-Jubv3gAqQy2Z6s8R5ZGJCTc/edit#gid=1271166664"",""Total Report!AR17"")"),3)</f>
        <v>3</v>
      </c>
      <c r="AQ13" s="189">
        <f ca="1">IFERROR(__xludf.DUMMYFUNCTION("IMPORTRANGE(""https://docs.google.com/spreadsheets/d/1u_5HmT3-RnSjbo8rH_K-Jubv3gAqQy2Z6s8R5ZGJCTc/edit#gid=1271166664"",""Total Report!AS17"")"),10)</f>
        <v>10</v>
      </c>
      <c r="AR13" s="185">
        <f ca="1">IFERROR(__xludf.DUMMYFUNCTION("IMPORTRANGE(""https://docs.google.com/spreadsheets/d/1u_5HmT3-RnSjbo8rH_K-Jubv3gAqQy2Z6s8R5ZGJCTc/edit#gid=1271166664"",""Total Report!AT17"")"),0)</f>
        <v>0</v>
      </c>
      <c r="AS13" s="186">
        <f ca="1">IFERROR(__xludf.DUMMYFUNCTION("IMPORTRANGE(""https://docs.google.com/spreadsheets/d/1u_5HmT3-RnSjbo8rH_K-Jubv3gAqQy2Z6s8R5ZGJCTc/edit#gid=1271166664"",""Total Report!AU17"")"),0)</f>
        <v>0</v>
      </c>
      <c r="AT13" s="187">
        <f ca="1">IFERROR(__xludf.DUMMYFUNCTION("IMPORTRANGE(""https://docs.google.com/spreadsheets/d/1u_5HmT3-RnSjbo8rH_K-Jubv3gAqQy2Z6s8R5ZGJCTc/edit#gid=1271166664"",""Total Report!AV17"")"),0)</f>
        <v>0</v>
      </c>
      <c r="AU13" s="188">
        <f ca="1">IFERROR(__xludf.DUMMYFUNCTION("IMPORTRANGE(""https://docs.google.com/spreadsheets/d/1u_5HmT3-RnSjbo8rH_K-Jubv3gAqQy2Z6s8R5ZGJCTc/edit#gid=1271166664"",""Total Report!AW17"")"),0)</f>
        <v>0</v>
      </c>
      <c r="AV13" s="186">
        <f ca="1">IFERROR(__xludf.DUMMYFUNCTION("IMPORTRANGE(""https://docs.google.com/spreadsheets/d/1u_5HmT3-RnSjbo8rH_K-Jubv3gAqQy2Z6s8R5ZGJCTc/edit#gid=1271166664"",""Total Report!AX17"")"),0)</f>
        <v>0</v>
      </c>
      <c r="AW13" s="187">
        <f ca="1">IFERROR(__xludf.DUMMYFUNCTION("IMPORTRANGE(""https://docs.google.com/spreadsheets/d/1u_5HmT3-RnSjbo8rH_K-Jubv3gAqQy2Z6s8R5ZGJCTc/edit#gid=1271166664"",""Total Report!AY17"")"),0)</f>
        <v>0</v>
      </c>
      <c r="AX13" s="589">
        <f t="shared" ref="AX13:AX16" ca="1" si="4">SUM(B13,E13,H13,K13,N13,Q13,T13,W13,Z13,AC13,AF13,AI13,AL13,AO13,AR13,AU13)</f>
        <v>113</v>
      </c>
      <c r="AY13" s="589">
        <f t="shared" ref="AY13:AY16" ca="1" si="5">SUM(C13,F13,I13,L13,O13,R13,U13,X13,AA13,AD13,AG13,AJ13,AM13,AP13,AS13,AV13)</f>
        <v>117</v>
      </c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</row>
    <row r="14" spans="1:80" s="148" customFormat="1" ht="12.75">
      <c r="A14" s="163" t="s">
        <v>68</v>
      </c>
      <c r="B14" s="185">
        <f ca="1">IFERROR(__xludf.DUMMYFUNCTION("IMPORTRANGE(""https://docs.google.com/spreadsheets/d/1u_5HmT3-RnSjbo8rH_K-Jubv3gAqQy2Z6s8R5ZGJCTc/edit#gid=1271166664"",""Total Report!D23"")"),6)</f>
        <v>6</v>
      </c>
      <c r="C14" s="186">
        <f ca="1">IFERROR(__xludf.DUMMYFUNCTION("IMPORTRANGE(""https://docs.google.com/spreadsheets/d/1u_5HmT3-RnSjbo8rH_K-Jubv3gAqQy2Z6s8R5ZGJCTc/edit#gid=1271166664"",""Total Report!E23"")"),6)</f>
        <v>6</v>
      </c>
      <c r="D14" s="187">
        <f ca="1">IFERROR(__xludf.DUMMYFUNCTION("IMPORTRANGE(""https://docs.google.com/spreadsheets/d/1u_5HmT3-RnSjbo8rH_K-Jubv3gAqQy2Z6s8R5ZGJCTc/edit#gid=1271166664"",""Total Report!F23"")"),18)</f>
        <v>18</v>
      </c>
      <c r="E14" s="188">
        <f ca="1">IFERROR(__xludf.DUMMYFUNCTION("IMPORTRANGE(""https://docs.google.com/spreadsheets/d/1u_5HmT3-RnSjbo8rH_K-Jubv3gAqQy2Z6s8R5ZGJCTc/edit#gid=1271166664"",""Total Report!G23"")"),22)</f>
        <v>22</v>
      </c>
      <c r="F14" s="186">
        <f ca="1">IFERROR(__xludf.DUMMYFUNCTION("IMPORTRANGE(""https://docs.google.com/spreadsheets/d/1u_5HmT3-RnSjbo8rH_K-Jubv3gAqQy2Z6s8R5ZGJCTc/edit#gid=1271166664"",""Total Report!H23"")"),14)</f>
        <v>14</v>
      </c>
      <c r="G14" s="189">
        <f ca="1">IFERROR(__xludf.DUMMYFUNCTION("IMPORTRANGE(""https://docs.google.com/spreadsheets/d/1u_5HmT3-RnSjbo8rH_K-Jubv3gAqQy2Z6s8R5ZGJCTc/edit#gid=1271166664"",""Total Report!I23"")"),66)</f>
        <v>66</v>
      </c>
      <c r="H14" s="185">
        <f ca="1">IFERROR(__xludf.DUMMYFUNCTION("IMPORTRANGE(""https://docs.google.com/spreadsheets/d/1u_5HmT3-RnSjbo8rH_K-Jubv3gAqQy2Z6s8R5ZGJCTc/edit#gid=1271166664"",""Total Report!J23"")"),7)</f>
        <v>7</v>
      </c>
      <c r="I14" s="186">
        <f ca="1">IFERROR(__xludf.DUMMYFUNCTION("IMPORTRANGE(""https://docs.google.com/spreadsheets/d/1u_5HmT3-RnSjbo8rH_K-Jubv3gAqQy2Z6s8R5ZGJCTc/edit#gid=1271166664"",""Total Report!K23"")"),7)</f>
        <v>7</v>
      </c>
      <c r="J14" s="187">
        <f ca="1">IFERROR(__xludf.DUMMYFUNCTION("IMPORTRANGE(""https://docs.google.com/spreadsheets/d/1u_5HmT3-RnSjbo8rH_K-Jubv3gAqQy2Z6s8R5ZGJCTc/edit#gid=1271166664"",""Total Report!L23"")"),23)</f>
        <v>23</v>
      </c>
      <c r="K14" s="188">
        <f ca="1">IFERROR(__xludf.DUMMYFUNCTION("IMPORTRANGE(""https://docs.google.com/spreadsheets/d/1u_5HmT3-RnSjbo8rH_K-Jubv3gAqQy2Z6s8R5ZGJCTc/edit#gid=1271166664"",""Total Report!M23"")"),8)</f>
        <v>8</v>
      </c>
      <c r="L14" s="186">
        <f ca="1">IFERROR(__xludf.DUMMYFUNCTION("IMPORTRANGE(""https://docs.google.com/spreadsheets/d/1u_5HmT3-RnSjbo8rH_K-Jubv3gAqQy2Z6s8R5ZGJCTc/edit#gid=1271166664"",""Total Report!N23"")"),8)</f>
        <v>8</v>
      </c>
      <c r="M14" s="189">
        <f ca="1">IFERROR(__xludf.DUMMYFUNCTION("IMPORTRANGE(""https://docs.google.com/spreadsheets/d/1u_5HmT3-RnSjbo8rH_K-Jubv3gAqQy2Z6s8R5ZGJCTc/edit#gid=1271166664"",""Total Report!O23"")"),24)</f>
        <v>24</v>
      </c>
      <c r="N14" s="185">
        <f ca="1">IFERROR(__xludf.DUMMYFUNCTION("IMPORTRANGE(""https://docs.google.com/spreadsheets/d/1u_5HmT3-RnSjbo8rH_K-Jubv3gAqQy2Z6s8R5ZGJCTc/edit#gid=1271166664"",""Total Report!P23"")"),24)</f>
        <v>24</v>
      </c>
      <c r="O14" s="186">
        <f ca="1">IFERROR(__xludf.DUMMYFUNCTION("IMPORTRANGE(""https://docs.google.com/spreadsheets/d/1u_5HmT3-RnSjbo8rH_K-Jubv3gAqQy2Z6s8R5ZGJCTc/edit#gid=1271166664"",""Total Report!Q23"")"),24)</f>
        <v>24</v>
      </c>
      <c r="P14" s="187">
        <f ca="1">IFERROR(__xludf.DUMMYFUNCTION("IMPORTRANGE(""https://docs.google.com/spreadsheets/d/1u_5HmT3-RnSjbo8rH_K-Jubv3gAqQy2Z6s8R5ZGJCTc/edit#gid=1271166664"",""Total Report!R23"")"),72)</f>
        <v>72</v>
      </c>
      <c r="Q14" s="188">
        <f ca="1">IFERROR(__xludf.DUMMYFUNCTION("IMPORTRANGE(""https://docs.google.com/spreadsheets/d/1u_5HmT3-RnSjbo8rH_K-Jubv3gAqQy2Z6s8R5ZGJCTc/edit#gid=1271166664"",""Total Report!S23"")"),16)</f>
        <v>16</v>
      </c>
      <c r="R14" s="186">
        <f ca="1">IFERROR(__xludf.DUMMYFUNCTION("IMPORTRANGE(""https://docs.google.com/spreadsheets/d/1u_5HmT3-RnSjbo8rH_K-Jubv3gAqQy2Z6s8R5ZGJCTc/edit#gid=1271166664"",""Total Report!T23"")"),16)</f>
        <v>16</v>
      </c>
      <c r="S14" s="189">
        <f ca="1">IFERROR(__xludf.DUMMYFUNCTION("IMPORTRANGE(""https://docs.google.com/spreadsheets/d/1u_5HmT3-RnSjbo8rH_K-Jubv3gAqQy2Z6s8R5ZGJCTc/edit#gid=1271166664"",""Total Report!U23"")"),48)</f>
        <v>48</v>
      </c>
      <c r="T14" s="185">
        <f ca="1">IFERROR(__xludf.DUMMYFUNCTION("IMPORTRANGE(""https://docs.google.com/spreadsheets/d/1u_5HmT3-RnSjbo8rH_K-Jubv3gAqQy2Z6s8R5ZGJCTc/edit#gid=1271166664"",""Total Report!V23"")"),6)</f>
        <v>6</v>
      </c>
      <c r="U14" s="186">
        <f ca="1">IFERROR(__xludf.DUMMYFUNCTION("IMPORTRANGE(""https://docs.google.com/spreadsheets/d/1u_5HmT3-RnSjbo8rH_K-Jubv3gAqQy2Z6s8R5ZGJCTc/edit#gid=1271166664"",""Total Report!W23"")"),6)</f>
        <v>6</v>
      </c>
      <c r="V14" s="187">
        <f ca="1">IFERROR(__xludf.DUMMYFUNCTION("IMPORTRANGE(""https://docs.google.com/spreadsheets/d/1u_5HmT3-RnSjbo8rH_K-Jubv3gAqQy2Z6s8R5ZGJCTc/edit#gid=1271166664"",""Total Report!X23"")"),20)</f>
        <v>20</v>
      </c>
      <c r="W14" s="188">
        <f ca="1">IFERROR(__xludf.DUMMYFUNCTION("IMPORTRANGE(""https://docs.google.com/spreadsheets/d/1u_5HmT3-RnSjbo8rH_K-Jubv3gAqQy2Z6s8R5ZGJCTc/edit#gid=1271166664"",""Total Report!Y23"")"),15)</f>
        <v>15</v>
      </c>
      <c r="X14" s="186">
        <f ca="1">IFERROR(__xludf.DUMMYFUNCTION("IMPORTRANGE(""https://docs.google.com/spreadsheets/d/1u_5HmT3-RnSjbo8rH_K-Jubv3gAqQy2Z6s8R5ZGJCTc/edit#gid=1271166664"",""Total Report!Z23"")"),15)</f>
        <v>15</v>
      </c>
      <c r="Y14" s="189">
        <f ca="1">IFERROR(__xludf.DUMMYFUNCTION("IMPORTRANGE(""https://docs.google.com/spreadsheets/d/1u_5HmT3-RnSjbo8rH_K-Jubv3gAqQy2Z6s8R5ZGJCTc/edit#gid=1271166664"",""Total Report!AA23"")"),47)</f>
        <v>47</v>
      </c>
      <c r="Z14" s="185">
        <f ca="1">IFERROR(__xludf.DUMMYFUNCTION("IMPORTRANGE(""https://docs.google.com/spreadsheets/d/1u_5HmT3-RnSjbo8rH_K-Jubv3gAqQy2Z6s8R5ZGJCTc/edit#gid=1271166664"",""Total Report!AB23"")"),12)</f>
        <v>12</v>
      </c>
      <c r="AA14" s="186">
        <f ca="1">IFERROR(__xludf.DUMMYFUNCTION("IMPORTRANGE(""https://docs.google.com/spreadsheets/d/1u_5HmT3-RnSjbo8rH_K-Jubv3gAqQy2Z6s8R5ZGJCTc/edit#gid=1271166664"",""Total Report!AC23"")"),12)</f>
        <v>12</v>
      </c>
      <c r="AB14" s="187">
        <f ca="1">IFERROR(__xludf.DUMMYFUNCTION("IMPORTRANGE(""https://docs.google.com/spreadsheets/d/1u_5HmT3-RnSjbo8rH_K-Jubv3gAqQy2Z6s8R5ZGJCTc/edit#gid=1271166664"",""Total Report!AD23"")"),38)</f>
        <v>38</v>
      </c>
      <c r="AC14" s="188">
        <f ca="1">IFERROR(__xludf.DUMMYFUNCTION("IMPORTRANGE(""https://docs.google.com/spreadsheets/d/1u_5HmT3-RnSjbo8rH_K-Jubv3gAqQy2Z6s8R5ZGJCTc/edit#gid=1271166664"",""Total Report!AE23"")"),0)</f>
        <v>0</v>
      </c>
      <c r="AD14" s="186">
        <f ca="1">IFERROR(__xludf.DUMMYFUNCTION("IMPORTRANGE(""https://docs.google.com/spreadsheets/d/1u_5HmT3-RnSjbo8rH_K-Jubv3gAqQy2Z6s8R5ZGJCTc/edit#gid=1271166664"",""Total Report!AF23"")"),0)</f>
        <v>0</v>
      </c>
      <c r="AE14" s="189">
        <f ca="1">IFERROR(__xludf.DUMMYFUNCTION("IMPORTRANGE(""https://docs.google.com/spreadsheets/d/1u_5HmT3-RnSjbo8rH_K-Jubv3gAqQy2Z6s8R5ZGJCTc/edit#gid=1271166664"",""Total Report!AG23"")"),0)</f>
        <v>0</v>
      </c>
      <c r="AF14" s="185">
        <f ca="1">IFERROR(__xludf.DUMMYFUNCTION("IMPORTRANGE(""https://docs.google.com/spreadsheets/d/1u_5HmT3-RnSjbo8rH_K-Jubv3gAqQy2Z6s8R5ZGJCTc/edit#gid=1271166664"",""Total Report!AH23"")"),14)</f>
        <v>14</v>
      </c>
      <c r="AG14" s="186">
        <f ca="1">IFERROR(__xludf.DUMMYFUNCTION("IMPORTRANGE(""https://docs.google.com/spreadsheets/d/1u_5HmT3-RnSjbo8rH_K-Jubv3gAqQy2Z6s8R5ZGJCTc/edit#gid=1271166664"",""Total Report!AI23"")"),13)</f>
        <v>13</v>
      </c>
      <c r="AH14" s="187">
        <f ca="1">IFERROR(__xludf.DUMMYFUNCTION("IMPORTRANGE(""https://docs.google.com/spreadsheets/d/1u_5HmT3-RnSjbo8rH_K-Jubv3gAqQy2Z6s8R5ZGJCTc/edit#gid=1271166664"",""Total Report!AJ23"")"),54)</f>
        <v>54</v>
      </c>
      <c r="AI14" s="188">
        <f ca="1">IFERROR(__xludf.DUMMYFUNCTION("IMPORTRANGE(""https://docs.google.com/spreadsheets/d/1u_5HmT3-RnSjbo8rH_K-Jubv3gAqQy2Z6s8R5ZGJCTc/edit#gid=1271166664"",""Total Report!AK23"")"),33)</f>
        <v>33</v>
      </c>
      <c r="AJ14" s="186">
        <f ca="1">IFERROR(__xludf.DUMMYFUNCTION("IMPORTRANGE(""https://docs.google.com/spreadsheets/d/1u_5HmT3-RnSjbo8rH_K-Jubv3gAqQy2Z6s8R5ZGJCTc/edit#gid=1271166664"",""Total Report!AL23"")"),33)</f>
        <v>33</v>
      </c>
      <c r="AK14" s="189">
        <f ca="1">IFERROR(__xludf.DUMMYFUNCTION("IMPORTRANGE(""https://docs.google.com/spreadsheets/d/1u_5HmT3-RnSjbo8rH_K-Jubv3gAqQy2Z6s8R5ZGJCTc/edit#gid=1271166664"",""Total Report!AM23"")"),99)</f>
        <v>99</v>
      </c>
      <c r="AL14" s="185">
        <f ca="1">IFERROR(__xludf.DUMMYFUNCTION("IMPORTRANGE(""https://docs.google.com/spreadsheets/d/1u_5HmT3-RnSjbo8rH_K-Jubv3gAqQy2Z6s8R5ZGJCTc/edit#gid=1271166664"",""Total Report!AN23"")"),0)</f>
        <v>0</v>
      </c>
      <c r="AM14" s="186">
        <f ca="1">IFERROR(__xludf.DUMMYFUNCTION("IMPORTRANGE(""https://docs.google.com/spreadsheets/d/1u_5HmT3-RnSjbo8rH_K-Jubv3gAqQy2Z6s8R5ZGJCTc/edit#gid=1271166664"",""Total Report!AO23"")"),0)</f>
        <v>0</v>
      </c>
      <c r="AN14" s="187">
        <f ca="1">IFERROR(__xludf.DUMMYFUNCTION("IMPORTRANGE(""https://docs.google.com/spreadsheets/d/1u_5HmT3-RnSjbo8rH_K-Jubv3gAqQy2Z6s8R5ZGJCTc/edit#gid=1271166664"",""Total Report!AP23"")"),0)</f>
        <v>0</v>
      </c>
      <c r="AO14" s="188">
        <f ca="1">IFERROR(__xludf.DUMMYFUNCTION("IMPORTRANGE(""https://docs.google.com/spreadsheets/d/1u_5HmT3-RnSjbo8rH_K-Jubv3gAqQy2Z6s8R5ZGJCTc/edit#gid=1271166664"",""Total Report!AQ23"")"),0)</f>
        <v>0</v>
      </c>
      <c r="AP14" s="186">
        <f ca="1">IFERROR(__xludf.DUMMYFUNCTION("IMPORTRANGE(""https://docs.google.com/spreadsheets/d/1u_5HmT3-RnSjbo8rH_K-Jubv3gAqQy2Z6s8R5ZGJCTc/edit#gid=1271166664"",""Total Report!AR23"")"),0)</f>
        <v>0</v>
      </c>
      <c r="AQ14" s="189">
        <f ca="1">IFERROR(__xludf.DUMMYFUNCTION("IMPORTRANGE(""https://docs.google.com/spreadsheets/d/1u_5HmT3-RnSjbo8rH_K-Jubv3gAqQy2Z6s8R5ZGJCTc/edit#gid=1271166664"",""Total Report!AS23"")"),0)</f>
        <v>0</v>
      </c>
      <c r="AR14" s="185">
        <f ca="1">IFERROR(__xludf.DUMMYFUNCTION("IMPORTRANGE(""https://docs.google.com/spreadsheets/d/1u_5HmT3-RnSjbo8rH_K-Jubv3gAqQy2Z6s8R5ZGJCTc/edit#gid=1271166664"",""Total Report!AT23"")"),0)</f>
        <v>0</v>
      </c>
      <c r="AS14" s="186">
        <f ca="1">IFERROR(__xludf.DUMMYFUNCTION("IMPORTRANGE(""https://docs.google.com/spreadsheets/d/1u_5HmT3-RnSjbo8rH_K-Jubv3gAqQy2Z6s8R5ZGJCTc/edit#gid=1271166664"",""Total Report!AU23"")"),0)</f>
        <v>0</v>
      </c>
      <c r="AT14" s="187">
        <f ca="1">IFERROR(__xludf.DUMMYFUNCTION("IMPORTRANGE(""https://docs.google.com/spreadsheets/d/1u_5HmT3-RnSjbo8rH_K-Jubv3gAqQy2Z6s8R5ZGJCTc/edit#gid=1271166664"",""Total Report!AV23"")"),0)</f>
        <v>0</v>
      </c>
      <c r="AU14" s="188">
        <f ca="1">IFERROR(__xludf.DUMMYFUNCTION("IMPORTRANGE(""https://docs.google.com/spreadsheets/d/1u_5HmT3-RnSjbo8rH_K-Jubv3gAqQy2Z6s8R5ZGJCTc/edit#gid=1271166664"",""Total Report!AW23"")"),0)</f>
        <v>0</v>
      </c>
      <c r="AV14" s="186">
        <f ca="1">IFERROR(__xludf.DUMMYFUNCTION("IMPORTRANGE(""https://docs.google.com/spreadsheets/d/1u_5HmT3-RnSjbo8rH_K-Jubv3gAqQy2Z6s8R5ZGJCTc/edit#gid=1271166664"",""Total Report!AX23"")"),0)</f>
        <v>0</v>
      </c>
      <c r="AW14" s="187">
        <f ca="1">IFERROR(__xludf.DUMMYFUNCTION("IMPORTRANGE(""https://docs.google.com/spreadsheets/d/1u_5HmT3-RnSjbo8rH_K-Jubv3gAqQy2Z6s8R5ZGJCTc/edit#gid=1271166664"",""Total Report!AY23"")"),0)</f>
        <v>0</v>
      </c>
      <c r="AX14" s="589">
        <f t="shared" ca="1" si="4"/>
        <v>163</v>
      </c>
      <c r="AY14" s="589">
        <f t="shared" ca="1" si="5"/>
        <v>154</v>
      </c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47"/>
      <c r="BX14" s="147"/>
      <c r="BY14" s="147"/>
      <c r="BZ14" s="147"/>
      <c r="CA14" s="147"/>
      <c r="CB14" s="147"/>
    </row>
    <row r="15" spans="1:80" s="148" customFormat="1" ht="12.75">
      <c r="A15" s="163" t="s">
        <v>69</v>
      </c>
      <c r="B15" s="185">
        <f ca="1">IFERROR(__xludf.DUMMYFUNCTION("IMPORTRANGE(""https://docs.google.com/spreadsheets/d/1u_5HmT3-RnSjbo8rH_K-Jubv3gAqQy2Z6s8R5ZGJCTc/edit#gid=1271166664"",""Total Report!D30"")"),0)</f>
        <v>0</v>
      </c>
      <c r="C15" s="186">
        <f ca="1">IFERROR(__xludf.DUMMYFUNCTION("IMPORTRANGE(""https://docs.google.com/spreadsheets/d/1u_5HmT3-RnSjbo8rH_K-Jubv3gAqQy2Z6s8R5ZGJCTc/edit#gid=1271166664"",""Total Report!E30"")"),0)</f>
        <v>0</v>
      </c>
      <c r="D15" s="187">
        <f ca="1">IFERROR(__xludf.DUMMYFUNCTION("IMPORTRANGE(""https://docs.google.com/spreadsheets/d/1u_5HmT3-RnSjbo8rH_K-Jubv3gAqQy2Z6s8R5ZGJCTc/edit#gid=1271166664"",""Total Report!F30"")"),0)</f>
        <v>0</v>
      </c>
      <c r="E15" s="188">
        <f ca="1">IFERROR(__xludf.DUMMYFUNCTION("IMPORTRANGE(""https://docs.google.com/spreadsheets/d/1u_5HmT3-RnSjbo8rH_K-Jubv3gAqQy2Z6s8R5ZGJCTc/edit#gid=1271166664"",""Total Report!G30"")"),6)</f>
        <v>6</v>
      </c>
      <c r="F15" s="186">
        <f ca="1">IFERROR(__xludf.DUMMYFUNCTION("IMPORTRANGE(""https://docs.google.com/spreadsheets/d/1u_5HmT3-RnSjbo8rH_K-Jubv3gAqQy2Z6s8R5ZGJCTc/edit#gid=1271166664"",""Total Report!H30"")"),6)</f>
        <v>6</v>
      </c>
      <c r="G15" s="189">
        <f ca="1">IFERROR(__xludf.DUMMYFUNCTION("IMPORTRANGE(""https://docs.google.com/spreadsheets/d/1u_5HmT3-RnSjbo8rH_K-Jubv3gAqQy2Z6s8R5ZGJCTc/edit#gid=1271166664"",""Total Report!I30"")"),14)</f>
        <v>14</v>
      </c>
      <c r="H15" s="185">
        <f ca="1">IFERROR(__xludf.DUMMYFUNCTION("IMPORTRANGE(""https://docs.google.com/spreadsheets/d/1u_5HmT3-RnSjbo8rH_K-Jubv3gAqQy2Z6s8R5ZGJCTc/edit#gid=1271166664"",""Total Report!J30"")"),0)</f>
        <v>0</v>
      </c>
      <c r="I15" s="186">
        <f ca="1">IFERROR(__xludf.DUMMYFUNCTION("IMPORTRANGE(""https://docs.google.com/spreadsheets/d/1u_5HmT3-RnSjbo8rH_K-Jubv3gAqQy2Z6s8R5ZGJCTc/edit#gid=1271166664"",""Total Report!K30"")"),0)</f>
        <v>0</v>
      </c>
      <c r="J15" s="187">
        <f ca="1">IFERROR(__xludf.DUMMYFUNCTION("IMPORTRANGE(""https://docs.google.com/spreadsheets/d/1u_5HmT3-RnSjbo8rH_K-Jubv3gAqQy2Z6s8R5ZGJCTc/edit#gid=1271166664"",""Total Report!L30"")"),0)</f>
        <v>0</v>
      </c>
      <c r="K15" s="188">
        <f ca="1">IFERROR(__xludf.DUMMYFUNCTION("IMPORTRANGE(""https://docs.google.com/spreadsheets/d/1u_5HmT3-RnSjbo8rH_K-Jubv3gAqQy2Z6s8R5ZGJCTc/edit#gid=1271166664"",""Total Report!M30"")"),0)</f>
        <v>0</v>
      </c>
      <c r="L15" s="186">
        <f ca="1">IFERROR(__xludf.DUMMYFUNCTION("IMPORTRANGE(""https://docs.google.com/spreadsheets/d/1u_5HmT3-RnSjbo8rH_K-Jubv3gAqQy2Z6s8R5ZGJCTc/edit#gid=1271166664"",""Total Report!N30"")"),0)</f>
        <v>0</v>
      </c>
      <c r="M15" s="189">
        <f ca="1">IFERROR(__xludf.DUMMYFUNCTION("IMPORTRANGE(""https://docs.google.com/spreadsheets/d/1u_5HmT3-RnSjbo8rH_K-Jubv3gAqQy2Z6s8R5ZGJCTc/edit#gid=1271166664"",""Total Report!O30"")"),0)</f>
        <v>0</v>
      </c>
      <c r="N15" s="185">
        <f ca="1">IFERROR(__xludf.DUMMYFUNCTION("IMPORTRANGE(""https://docs.google.com/spreadsheets/d/1u_5HmT3-RnSjbo8rH_K-Jubv3gAqQy2Z6s8R5ZGJCTc/edit#gid=1271166664"",""Total Report!P30"")"),2)</f>
        <v>2</v>
      </c>
      <c r="O15" s="186">
        <f ca="1">IFERROR(__xludf.DUMMYFUNCTION("IMPORTRANGE(""https://docs.google.com/spreadsheets/d/1u_5HmT3-RnSjbo8rH_K-Jubv3gAqQy2Z6s8R5ZGJCTc/edit#gid=1271166664"",""Total Report!Q30"")"),1)</f>
        <v>1</v>
      </c>
      <c r="P15" s="187">
        <f ca="1">IFERROR(__xludf.DUMMYFUNCTION("IMPORTRANGE(""https://docs.google.com/spreadsheets/d/1u_5HmT3-RnSjbo8rH_K-Jubv3gAqQy2Z6s8R5ZGJCTc/edit#gid=1271166664"",""Total Report!R30"")"),4)</f>
        <v>4</v>
      </c>
      <c r="Q15" s="188">
        <f ca="1">IFERROR(__xludf.DUMMYFUNCTION("IMPORTRANGE(""https://docs.google.com/spreadsheets/d/1u_5HmT3-RnSjbo8rH_K-Jubv3gAqQy2Z6s8R5ZGJCTc/edit#gid=1271166664"",""Total Report!S30"")"),1)</f>
        <v>1</v>
      </c>
      <c r="R15" s="186">
        <f ca="1">IFERROR(__xludf.DUMMYFUNCTION("IMPORTRANGE(""https://docs.google.com/spreadsheets/d/1u_5HmT3-RnSjbo8rH_K-Jubv3gAqQy2Z6s8R5ZGJCTc/edit#gid=1271166664"",""Total Report!T30"")"),1)</f>
        <v>1</v>
      </c>
      <c r="S15" s="189">
        <f ca="1">IFERROR(__xludf.DUMMYFUNCTION("IMPORTRANGE(""https://docs.google.com/spreadsheets/d/1u_5HmT3-RnSjbo8rH_K-Jubv3gAqQy2Z6s8R5ZGJCTc/edit#gid=1271166664"",""Total Report!U30"")"),2)</f>
        <v>2</v>
      </c>
      <c r="T15" s="185">
        <f ca="1">IFERROR(__xludf.DUMMYFUNCTION("IMPORTRANGE(""https://docs.google.com/spreadsheets/d/1u_5HmT3-RnSjbo8rH_K-Jubv3gAqQy2Z6s8R5ZGJCTc/edit#gid=1271166664"",""Total Report!V30"")"),0)</f>
        <v>0</v>
      </c>
      <c r="U15" s="186">
        <f ca="1">IFERROR(__xludf.DUMMYFUNCTION("IMPORTRANGE(""https://docs.google.com/spreadsheets/d/1u_5HmT3-RnSjbo8rH_K-Jubv3gAqQy2Z6s8R5ZGJCTc/edit#gid=1271166664"",""Total Report!W30"")"),0)</f>
        <v>0</v>
      </c>
      <c r="V15" s="187">
        <f ca="1">IFERROR(__xludf.DUMMYFUNCTION("IMPORTRANGE(""https://docs.google.com/spreadsheets/d/1u_5HmT3-RnSjbo8rH_K-Jubv3gAqQy2Z6s8R5ZGJCTc/edit#gid=1271166664"",""Total Report!X30"")"),0)</f>
        <v>0</v>
      </c>
      <c r="W15" s="188">
        <f ca="1">IFERROR(__xludf.DUMMYFUNCTION("IMPORTRANGE(""https://docs.google.com/spreadsheets/d/1u_5HmT3-RnSjbo8rH_K-Jubv3gAqQy2Z6s8R5ZGJCTc/edit#gid=1271166664"",""Total Report!Y30"")"),0)</f>
        <v>0</v>
      </c>
      <c r="X15" s="186">
        <f ca="1">IFERROR(__xludf.DUMMYFUNCTION("IMPORTRANGE(""https://docs.google.com/spreadsheets/d/1u_5HmT3-RnSjbo8rH_K-Jubv3gAqQy2Z6s8R5ZGJCTc/edit#gid=1271166664"",""Total Report!Z30"")"),0)</f>
        <v>0</v>
      </c>
      <c r="Y15" s="189">
        <f ca="1">IFERROR(__xludf.DUMMYFUNCTION("IMPORTRANGE(""https://docs.google.com/spreadsheets/d/1u_5HmT3-RnSjbo8rH_K-Jubv3gAqQy2Z6s8R5ZGJCTc/edit#gid=1271166664"",""Total Report!AA30"")"),0)</f>
        <v>0</v>
      </c>
      <c r="Z15" s="185">
        <f ca="1">IFERROR(__xludf.DUMMYFUNCTION("IMPORTRANGE(""https://docs.google.com/spreadsheets/d/1u_5HmT3-RnSjbo8rH_K-Jubv3gAqQy2Z6s8R5ZGJCTc/edit#gid=1271166664"",""Total Report!AB30"")"),1)</f>
        <v>1</v>
      </c>
      <c r="AA15" s="186">
        <f ca="1">IFERROR(__xludf.DUMMYFUNCTION("IMPORTRANGE(""https://docs.google.com/spreadsheets/d/1u_5HmT3-RnSjbo8rH_K-Jubv3gAqQy2Z6s8R5ZGJCTc/edit#gid=1271166664"",""Total Report!AC30"")"),1)</f>
        <v>1</v>
      </c>
      <c r="AB15" s="187">
        <f ca="1">IFERROR(__xludf.DUMMYFUNCTION("IMPORTRANGE(""https://docs.google.com/spreadsheets/d/1u_5HmT3-RnSjbo8rH_K-Jubv3gAqQy2Z6s8R5ZGJCTc/edit#gid=1271166664"",""Total Report!AD30"")"),3)</f>
        <v>3</v>
      </c>
      <c r="AC15" s="188">
        <f ca="1">IFERROR(__xludf.DUMMYFUNCTION("IMPORTRANGE(""https://docs.google.com/spreadsheets/d/1u_5HmT3-RnSjbo8rH_K-Jubv3gAqQy2Z6s8R5ZGJCTc/edit#gid=1271166664"",""Total Report!AE30"")"),0)</f>
        <v>0</v>
      </c>
      <c r="AD15" s="186">
        <f ca="1">IFERROR(__xludf.DUMMYFUNCTION("IMPORTRANGE(""https://docs.google.com/spreadsheets/d/1u_5HmT3-RnSjbo8rH_K-Jubv3gAqQy2Z6s8R5ZGJCTc/edit#gid=1271166664"",""Total Report!AF30"")"),0)</f>
        <v>0</v>
      </c>
      <c r="AE15" s="189">
        <f ca="1">IFERROR(__xludf.DUMMYFUNCTION("IMPORTRANGE(""https://docs.google.com/spreadsheets/d/1u_5HmT3-RnSjbo8rH_K-Jubv3gAqQy2Z6s8R5ZGJCTc/edit#gid=1271166664"",""Total Report!AG30"")"),0)</f>
        <v>0</v>
      </c>
      <c r="AF15" s="185">
        <f ca="1">IFERROR(__xludf.DUMMYFUNCTION("IMPORTRANGE(""https://docs.google.com/spreadsheets/d/1u_5HmT3-RnSjbo8rH_K-Jubv3gAqQy2Z6s8R5ZGJCTc/edit#gid=1271166664"",""Total Report!AH30"")"),4)</f>
        <v>4</v>
      </c>
      <c r="AG15" s="186">
        <f ca="1">IFERROR(__xludf.DUMMYFUNCTION("IMPORTRANGE(""https://docs.google.com/spreadsheets/d/1u_5HmT3-RnSjbo8rH_K-Jubv3gAqQy2Z6s8R5ZGJCTc/edit#gid=1271166664"",""Total Report!AI30"")"),4)</f>
        <v>4</v>
      </c>
      <c r="AH15" s="187">
        <f ca="1">IFERROR(__xludf.DUMMYFUNCTION("IMPORTRANGE(""https://docs.google.com/spreadsheets/d/1u_5HmT3-RnSjbo8rH_K-Jubv3gAqQy2Z6s8R5ZGJCTc/edit#gid=1271166664"",""Total Report!AJ30"")"),11)</f>
        <v>11</v>
      </c>
      <c r="AI15" s="188">
        <f ca="1">IFERROR(__xludf.DUMMYFUNCTION("IMPORTRANGE(""https://docs.google.com/spreadsheets/d/1u_5HmT3-RnSjbo8rH_K-Jubv3gAqQy2Z6s8R5ZGJCTc/edit#gid=1271166664"",""Total Report!AK30"")"),13)</f>
        <v>13</v>
      </c>
      <c r="AJ15" s="186">
        <f ca="1">IFERROR(__xludf.DUMMYFUNCTION("IMPORTRANGE(""https://docs.google.com/spreadsheets/d/1u_5HmT3-RnSjbo8rH_K-Jubv3gAqQy2Z6s8R5ZGJCTc/edit#gid=1271166664"",""Total Report!AL30"")"),13)</f>
        <v>13</v>
      </c>
      <c r="AK15" s="189">
        <f ca="1">IFERROR(__xludf.DUMMYFUNCTION("IMPORTRANGE(""https://docs.google.com/spreadsheets/d/1u_5HmT3-RnSjbo8rH_K-Jubv3gAqQy2Z6s8R5ZGJCTc/edit#gid=1271166664"",""Total Report!AM30"")"),29)</f>
        <v>29</v>
      </c>
      <c r="AL15" s="185">
        <f ca="1">IFERROR(__xludf.DUMMYFUNCTION("IMPORTRANGE(""https://docs.google.com/spreadsheets/d/1u_5HmT3-RnSjbo8rH_K-Jubv3gAqQy2Z6s8R5ZGJCTc/edit#gid=1271166664"",""Total Report!AN30"")"),0)</f>
        <v>0</v>
      </c>
      <c r="AM15" s="186">
        <f ca="1">IFERROR(__xludf.DUMMYFUNCTION("IMPORTRANGE(""https://docs.google.com/spreadsheets/d/1u_5HmT3-RnSjbo8rH_K-Jubv3gAqQy2Z6s8R5ZGJCTc/edit#gid=1271166664"",""Total Report!AO30"")"),0)</f>
        <v>0</v>
      </c>
      <c r="AN15" s="187">
        <f ca="1">IFERROR(__xludf.DUMMYFUNCTION("IMPORTRANGE(""https://docs.google.com/spreadsheets/d/1u_5HmT3-RnSjbo8rH_K-Jubv3gAqQy2Z6s8R5ZGJCTc/edit#gid=1271166664"",""Total Report!AP30"")"),0)</f>
        <v>0</v>
      </c>
      <c r="AO15" s="188">
        <f ca="1">IFERROR(__xludf.DUMMYFUNCTION("IMPORTRANGE(""https://docs.google.com/spreadsheets/d/1u_5HmT3-RnSjbo8rH_K-Jubv3gAqQy2Z6s8R5ZGJCTc/edit#gid=1271166664"",""Total Report!AQ30"")"),0)</f>
        <v>0</v>
      </c>
      <c r="AP15" s="186">
        <f ca="1">IFERROR(__xludf.DUMMYFUNCTION("IMPORTRANGE(""https://docs.google.com/spreadsheets/d/1u_5HmT3-RnSjbo8rH_K-Jubv3gAqQy2Z6s8R5ZGJCTc/edit#gid=1271166664"",""Total Report!AR30"")"),0)</f>
        <v>0</v>
      </c>
      <c r="AQ15" s="189">
        <f ca="1">IFERROR(__xludf.DUMMYFUNCTION("IMPORTRANGE(""https://docs.google.com/spreadsheets/d/1u_5HmT3-RnSjbo8rH_K-Jubv3gAqQy2Z6s8R5ZGJCTc/edit#gid=1271166664"",""Total Report!AS30"")"),0)</f>
        <v>0</v>
      </c>
      <c r="AR15" s="185">
        <f ca="1">IFERROR(__xludf.DUMMYFUNCTION("IMPORTRANGE(""https://docs.google.com/spreadsheets/d/1u_5HmT3-RnSjbo8rH_K-Jubv3gAqQy2Z6s8R5ZGJCTc/edit#gid=1271166664"",""Total Report!AT30"")"),1)</f>
        <v>1</v>
      </c>
      <c r="AS15" s="186">
        <f ca="1">IFERROR(__xludf.DUMMYFUNCTION("IMPORTRANGE(""https://docs.google.com/spreadsheets/d/1u_5HmT3-RnSjbo8rH_K-Jubv3gAqQy2Z6s8R5ZGJCTc/edit#gid=1271166664"",""Total Report!AU30"")"),1)</f>
        <v>1</v>
      </c>
      <c r="AT15" s="187">
        <f ca="1">IFERROR(__xludf.DUMMYFUNCTION("IMPORTRANGE(""https://docs.google.com/spreadsheets/d/1u_5HmT3-RnSjbo8rH_K-Jubv3gAqQy2Z6s8R5ZGJCTc/edit#gid=1271166664"",""Total Report!AV30"")"),2)</f>
        <v>2</v>
      </c>
      <c r="AU15" s="188">
        <f ca="1">IFERROR(__xludf.DUMMYFUNCTION("IMPORTRANGE(""https://docs.google.com/spreadsheets/d/1u_5HmT3-RnSjbo8rH_K-Jubv3gAqQy2Z6s8R5ZGJCTc/edit#gid=1271166664"",""Total Report!AW30"")"),0)</f>
        <v>0</v>
      </c>
      <c r="AV15" s="186">
        <f ca="1">IFERROR(__xludf.DUMMYFUNCTION("IMPORTRANGE(""https://docs.google.com/spreadsheets/d/1u_5HmT3-RnSjbo8rH_K-Jubv3gAqQy2Z6s8R5ZGJCTc/edit#gid=1271166664"",""Total Report!AX30"")"),0)</f>
        <v>0</v>
      </c>
      <c r="AW15" s="187">
        <f ca="1">IFERROR(__xludf.DUMMYFUNCTION("IMPORTRANGE(""https://docs.google.com/spreadsheets/d/1u_5HmT3-RnSjbo8rH_K-Jubv3gAqQy2Z6s8R5ZGJCTc/edit#gid=1271166664"",""Total Report!AY30"")"),0)</f>
        <v>0</v>
      </c>
      <c r="AX15" s="589">
        <f t="shared" ca="1" si="4"/>
        <v>28</v>
      </c>
      <c r="AY15" s="589">
        <f t="shared" ca="1" si="5"/>
        <v>27</v>
      </c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47"/>
    </row>
    <row r="16" spans="1:80" s="148" customFormat="1" ht="13.5" thickBot="1">
      <c r="A16" s="171" t="s">
        <v>70</v>
      </c>
      <c r="B16" s="190">
        <f ca="1">IFERROR(__xludf.DUMMYFUNCTION("IMPORTRANGE(""https://docs.google.com/spreadsheets/d/1u_5HmT3-RnSjbo8rH_K-Jubv3gAqQy2Z6s8R5ZGJCTc/edit#gid=1271166664"",""Total Report!D35"")"),1)</f>
        <v>1</v>
      </c>
      <c r="C16" s="191">
        <f ca="1">IFERROR(__xludf.DUMMYFUNCTION("IMPORTRANGE(""https://docs.google.com/spreadsheets/d/1u_5HmT3-RnSjbo8rH_K-Jubv3gAqQy2Z6s8R5ZGJCTc/edit#gid=1271166664"",""Total Report!E35"")"),1)</f>
        <v>1</v>
      </c>
      <c r="D16" s="192">
        <f ca="1">IFERROR(__xludf.DUMMYFUNCTION("IMPORTRANGE(""https://docs.google.com/spreadsheets/d/1u_5HmT3-RnSjbo8rH_K-Jubv3gAqQy2Z6s8R5ZGJCTc/edit#gid=1271166664"",""Total Report!F35"")"),2)</f>
        <v>2</v>
      </c>
      <c r="E16" s="193">
        <f ca="1">IFERROR(__xludf.DUMMYFUNCTION("IMPORTRANGE(""https://docs.google.com/spreadsheets/d/1u_5HmT3-RnSjbo8rH_K-Jubv3gAqQy2Z6s8R5ZGJCTc/edit#gid=1271166664"",""Total Report!G35"")"),12)</f>
        <v>12</v>
      </c>
      <c r="F16" s="191">
        <f ca="1">IFERROR(__xludf.DUMMYFUNCTION("IMPORTRANGE(""https://docs.google.com/spreadsheets/d/1u_5HmT3-RnSjbo8rH_K-Jubv3gAqQy2Z6s8R5ZGJCTc/edit#gid=1271166664"",""Total Report!H35"")"),19)</f>
        <v>19</v>
      </c>
      <c r="G16" s="194">
        <f ca="1">IFERROR(__xludf.DUMMYFUNCTION("IMPORTRANGE(""https://docs.google.com/spreadsheets/d/1u_5HmT3-RnSjbo8rH_K-Jubv3gAqQy2Z6s8R5ZGJCTc/edit#gid=1271166664"",""Total Report!I35"")"),27)</f>
        <v>27</v>
      </c>
      <c r="H16" s="190">
        <f ca="1">IFERROR(__xludf.DUMMYFUNCTION("IMPORTRANGE(""https://docs.google.com/spreadsheets/d/1u_5HmT3-RnSjbo8rH_K-Jubv3gAqQy2Z6s8R5ZGJCTc/edit#gid=1271166664"",""Total Report!J35"")"),3)</f>
        <v>3</v>
      </c>
      <c r="I16" s="191">
        <f ca="1">IFERROR(__xludf.DUMMYFUNCTION("IMPORTRANGE(""https://docs.google.com/spreadsheets/d/1u_5HmT3-RnSjbo8rH_K-Jubv3gAqQy2Z6s8R5ZGJCTc/edit#gid=1271166664"",""Total Report!K35"")"),7)</f>
        <v>7</v>
      </c>
      <c r="J16" s="192">
        <f ca="1">IFERROR(__xludf.DUMMYFUNCTION("IMPORTRANGE(""https://docs.google.com/spreadsheets/d/1u_5HmT3-RnSjbo8rH_K-Jubv3gAqQy2Z6s8R5ZGJCTc/edit#gid=1271166664"",""Total Report!L35"")"),6)</f>
        <v>6</v>
      </c>
      <c r="K16" s="193">
        <f ca="1">IFERROR(__xludf.DUMMYFUNCTION("IMPORTRANGE(""https://docs.google.com/spreadsheets/d/1u_5HmT3-RnSjbo8rH_K-Jubv3gAqQy2Z6s8R5ZGJCTc/edit#gid=1271166664"",""Total Report!M35"")"),15)</f>
        <v>15</v>
      </c>
      <c r="L16" s="191">
        <f ca="1">IFERROR(__xludf.DUMMYFUNCTION("IMPORTRANGE(""https://docs.google.com/spreadsheets/d/1u_5HmT3-RnSjbo8rH_K-Jubv3gAqQy2Z6s8R5ZGJCTc/edit#gid=1271166664"",""Total Report!N35"")"),15)</f>
        <v>15</v>
      </c>
      <c r="M16" s="194">
        <f ca="1">IFERROR(__xludf.DUMMYFUNCTION("IMPORTRANGE(""https://docs.google.com/spreadsheets/d/1u_5HmT3-RnSjbo8rH_K-Jubv3gAqQy2Z6s8R5ZGJCTc/edit#gid=1271166664"",""Total Report!O35"")"),30)</f>
        <v>30</v>
      </c>
      <c r="N16" s="190">
        <f ca="1">IFERROR(__xludf.DUMMYFUNCTION("IMPORTRANGE(""https://docs.google.com/spreadsheets/d/1u_5HmT3-RnSjbo8rH_K-Jubv3gAqQy2Z6s8R5ZGJCTc/edit#gid=1271166664"",""Total Report!P35"")"),7)</f>
        <v>7</v>
      </c>
      <c r="O16" s="191">
        <f ca="1">IFERROR(__xludf.DUMMYFUNCTION("IMPORTRANGE(""https://docs.google.com/spreadsheets/d/1u_5HmT3-RnSjbo8rH_K-Jubv3gAqQy2Z6s8R5ZGJCTc/edit#gid=1271166664"",""Total Report!Q35"")"),7)</f>
        <v>7</v>
      </c>
      <c r="P16" s="192">
        <f ca="1">IFERROR(__xludf.DUMMYFUNCTION("IMPORTRANGE(""https://docs.google.com/spreadsheets/d/1u_5HmT3-RnSjbo8rH_K-Jubv3gAqQy2Z6s8R5ZGJCTc/edit#gid=1271166664"",""Total Report!R35"")"),14)</f>
        <v>14</v>
      </c>
      <c r="Q16" s="193">
        <f ca="1">IFERROR(__xludf.DUMMYFUNCTION("IMPORTRANGE(""https://docs.google.com/spreadsheets/d/1u_5HmT3-RnSjbo8rH_K-Jubv3gAqQy2Z6s8R5ZGJCTc/edit#gid=1271166664"",""Total Report!S35"")"),2)</f>
        <v>2</v>
      </c>
      <c r="R16" s="191">
        <f ca="1">IFERROR(__xludf.DUMMYFUNCTION("IMPORTRANGE(""https://docs.google.com/spreadsheets/d/1u_5HmT3-RnSjbo8rH_K-Jubv3gAqQy2Z6s8R5ZGJCTc/edit#gid=1271166664"",""Total Report!T35"")"),3)</f>
        <v>3</v>
      </c>
      <c r="S16" s="194">
        <f ca="1">IFERROR(__xludf.DUMMYFUNCTION("IMPORTRANGE(""https://docs.google.com/spreadsheets/d/1u_5HmT3-RnSjbo8rH_K-Jubv3gAqQy2Z6s8R5ZGJCTc/edit#gid=1271166664"",""Total Report!U35"")"),4)</f>
        <v>4</v>
      </c>
      <c r="T16" s="190">
        <f ca="1">IFERROR(__xludf.DUMMYFUNCTION("IMPORTRANGE(""https://docs.google.com/spreadsheets/d/1u_5HmT3-RnSjbo8rH_K-Jubv3gAqQy2Z6s8R5ZGJCTc/edit#gid=1271166664"",""Total Report!V35"")"),2)</f>
        <v>2</v>
      </c>
      <c r="U16" s="191">
        <f ca="1">IFERROR(__xludf.DUMMYFUNCTION("IMPORTRANGE(""https://docs.google.com/spreadsheets/d/1u_5HmT3-RnSjbo8rH_K-Jubv3gAqQy2Z6s8R5ZGJCTc/edit#gid=1271166664"",""Total Report!W35"")"),3)</f>
        <v>3</v>
      </c>
      <c r="V16" s="192">
        <f ca="1">IFERROR(__xludf.DUMMYFUNCTION("IMPORTRANGE(""https://docs.google.com/spreadsheets/d/1u_5HmT3-RnSjbo8rH_K-Jubv3gAqQy2Z6s8R5ZGJCTc/edit#gid=1271166664"",""Total Report!X35"")"),4)</f>
        <v>4</v>
      </c>
      <c r="W16" s="193">
        <f ca="1">IFERROR(__xludf.DUMMYFUNCTION("IMPORTRANGE(""https://docs.google.com/spreadsheets/d/1u_5HmT3-RnSjbo8rH_K-Jubv3gAqQy2Z6s8R5ZGJCTc/edit#gid=1271166664"",""Total Report!Y35"")"),7)</f>
        <v>7</v>
      </c>
      <c r="X16" s="191">
        <f ca="1">IFERROR(__xludf.DUMMYFUNCTION("IMPORTRANGE(""https://docs.google.com/spreadsheets/d/1u_5HmT3-RnSjbo8rH_K-Jubv3gAqQy2Z6s8R5ZGJCTc/edit#gid=1271166664"",""Total Report!Z35"")"),7)</f>
        <v>7</v>
      </c>
      <c r="Y16" s="194">
        <f ca="1">IFERROR(__xludf.DUMMYFUNCTION("IMPORTRANGE(""https://docs.google.com/spreadsheets/d/1u_5HmT3-RnSjbo8rH_K-Jubv3gAqQy2Z6s8R5ZGJCTc/edit#gid=1271166664"",""Total Report!AA35"")"),14)</f>
        <v>14</v>
      </c>
      <c r="Z16" s="190">
        <f ca="1">IFERROR(__xludf.DUMMYFUNCTION("IMPORTRANGE(""https://docs.google.com/spreadsheets/d/1u_5HmT3-RnSjbo8rH_K-Jubv3gAqQy2Z6s8R5ZGJCTc/edit#gid=1271166664"",""Total Report!AB35"")"),6)</f>
        <v>6</v>
      </c>
      <c r="AA16" s="191">
        <f ca="1">IFERROR(__xludf.DUMMYFUNCTION("IMPORTRANGE(""https://docs.google.com/spreadsheets/d/1u_5HmT3-RnSjbo8rH_K-Jubv3gAqQy2Z6s8R5ZGJCTc/edit#gid=1271166664"",""Total Report!AC35"")"),6)</f>
        <v>6</v>
      </c>
      <c r="AB16" s="192">
        <f ca="1">IFERROR(__xludf.DUMMYFUNCTION("IMPORTRANGE(""https://docs.google.com/spreadsheets/d/1u_5HmT3-RnSjbo8rH_K-Jubv3gAqQy2Z6s8R5ZGJCTc/edit#gid=1271166664"",""Total Report!AD35"")"),12)</f>
        <v>12</v>
      </c>
      <c r="AC16" s="193">
        <f ca="1">IFERROR(__xludf.DUMMYFUNCTION("IMPORTRANGE(""https://docs.google.com/spreadsheets/d/1u_5HmT3-RnSjbo8rH_K-Jubv3gAqQy2Z6s8R5ZGJCTc/edit#gid=1271166664"",""Total Report!AE35"")"),2)</f>
        <v>2</v>
      </c>
      <c r="AD16" s="191">
        <f ca="1">IFERROR(__xludf.DUMMYFUNCTION("IMPORTRANGE(""https://docs.google.com/spreadsheets/d/1u_5HmT3-RnSjbo8rH_K-Jubv3gAqQy2Z6s8R5ZGJCTc/edit#gid=1271166664"",""Total Report!AF35"")"),4)</f>
        <v>4</v>
      </c>
      <c r="AE16" s="194">
        <f ca="1">IFERROR(__xludf.DUMMYFUNCTION("IMPORTRANGE(""https://docs.google.com/spreadsheets/d/1u_5HmT3-RnSjbo8rH_K-Jubv3gAqQy2Z6s8R5ZGJCTc/edit#gid=1271166664"",""Total Report!AG35"")"),4)</f>
        <v>4</v>
      </c>
      <c r="AF16" s="190">
        <f ca="1">IFERROR(__xludf.DUMMYFUNCTION("IMPORTRANGE(""https://docs.google.com/spreadsheets/d/1u_5HmT3-RnSjbo8rH_K-Jubv3gAqQy2Z6s8R5ZGJCTc/edit#gid=1271166664"",""Total Report!AH35"")"),10)</f>
        <v>10</v>
      </c>
      <c r="AG16" s="191">
        <f ca="1">IFERROR(__xludf.DUMMYFUNCTION("IMPORTRANGE(""https://docs.google.com/spreadsheets/d/1u_5HmT3-RnSjbo8rH_K-Jubv3gAqQy2Z6s8R5ZGJCTc/edit#gid=1271166664"",""Total Report!AI35"")"),19)</f>
        <v>19</v>
      </c>
      <c r="AH16" s="192">
        <f ca="1">IFERROR(__xludf.DUMMYFUNCTION("IMPORTRANGE(""https://docs.google.com/spreadsheets/d/1u_5HmT3-RnSjbo8rH_K-Jubv3gAqQy2Z6s8R5ZGJCTc/edit#gid=1271166664"",""Total Report!AJ35"")"),20)</f>
        <v>20</v>
      </c>
      <c r="AI16" s="193">
        <f ca="1">IFERROR(__xludf.DUMMYFUNCTION("IMPORTRANGE(""https://docs.google.com/spreadsheets/d/1u_5HmT3-RnSjbo8rH_K-Jubv3gAqQy2Z6s8R5ZGJCTc/edit#gid=1271166664"",""Total Report!AK35"")"),26)</f>
        <v>26</v>
      </c>
      <c r="AJ16" s="191">
        <f ca="1">IFERROR(__xludf.DUMMYFUNCTION("IMPORTRANGE(""https://docs.google.com/spreadsheets/d/1u_5HmT3-RnSjbo8rH_K-Jubv3gAqQy2Z6s8R5ZGJCTc/edit#gid=1271166664"",""Total Report!AL35"")"),36)</f>
        <v>36</v>
      </c>
      <c r="AK16" s="194">
        <f ca="1">IFERROR(__xludf.DUMMYFUNCTION("IMPORTRANGE(""https://docs.google.com/spreadsheets/d/1u_5HmT3-RnSjbo8rH_K-Jubv3gAqQy2Z6s8R5ZGJCTc/edit#gid=1271166664"",""Total Report!AM35"")"),52)</f>
        <v>52</v>
      </c>
      <c r="AL16" s="190">
        <f ca="1">IFERROR(__xludf.DUMMYFUNCTION("IMPORTRANGE(""https://docs.google.com/spreadsheets/d/1u_5HmT3-RnSjbo8rH_K-Jubv3gAqQy2Z6s8R5ZGJCTc/edit#gid=1271166664"",""Total Report!AN35"")"),0)</f>
        <v>0</v>
      </c>
      <c r="AM16" s="191">
        <f ca="1">IFERROR(__xludf.DUMMYFUNCTION("IMPORTRANGE(""https://docs.google.com/spreadsheets/d/1u_5HmT3-RnSjbo8rH_K-Jubv3gAqQy2Z6s8R5ZGJCTc/edit#gid=1271166664"",""Total Report!AO35"")"),0)</f>
        <v>0</v>
      </c>
      <c r="AN16" s="192">
        <f ca="1">IFERROR(__xludf.DUMMYFUNCTION("IMPORTRANGE(""https://docs.google.com/spreadsheets/d/1u_5HmT3-RnSjbo8rH_K-Jubv3gAqQy2Z6s8R5ZGJCTc/edit#gid=1271166664"",""Total Report!AP35"")"),0)</f>
        <v>0</v>
      </c>
      <c r="AO16" s="193">
        <f ca="1">IFERROR(__xludf.DUMMYFUNCTION("IMPORTRANGE(""https://docs.google.com/spreadsheets/d/1u_5HmT3-RnSjbo8rH_K-Jubv3gAqQy2Z6s8R5ZGJCTc/edit#gid=1271166664"",""Total Report!AQ35"")"),6)</f>
        <v>6</v>
      </c>
      <c r="AP16" s="191">
        <f ca="1">IFERROR(__xludf.DUMMYFUNCTION("IMPORTRANGE(""https://docs.google.com/spreadsheets/d/1u_5HmT3-RnSjbo8rH_K-Jubv3gAqQy2Z6s8R5ZGJCTc/edit#gid=1271166664"",""Total Report!AR35"")"),8)</f>
        <v>8</v>
      </c>
      <c r="AQ16" s="194">
        <f ca="1">IFERROR(__xludf.DUMMYFUNCTION("IMPORTRANGE(""https://docs.google.com/spreadsheets/d/1u_5HmT3-RnSjbo8rH_K-Jubv3gAqQy2Z6s8R5ZGJCTc/edit#gid=1271166664"",""Total Report!AS35"")"),12)</f>
        <v>12</v>
      </c>
      <c r="AR16" s="190">
        <f ca="1">IFERROR(__xludf.DUMMYFUNCTION("IMPORTRANGE(""https://docs.google.com/spreadsheets/d/1u_5HmT3-RnSjbo8rH_K-Jubv3gAqQy2Z6s8R5ZGJCTc/edit#gid=1271166664"",""Total Report!AT35"")"),1)</f>
        <v>1</v>
      </c>
      <c r="AS16" s="191">
        <f ca="1">IFERROR(__xludf.DUMMYFUNCTION("IMPORTRANGE(""https://docs.google.com/spreadsheets/d/1u_5HmT3-RnSjbo8rH_K-Jubv3gAqQy2Z6s8R5ZGJCTc/edit#gid=1271166664"",""Total Report!AU35"")"),1)</f>
        <v>1</v>
      </c>
      <c r="AT16" s="192">
        <f ca="1">IFERROR(__xludf.DUMMYFUNCTION("IMPORTRANGE(""https://docs.google.com/spreadsheets/d/1u_5HmT3-RnSjbo8rH_K-Jubv3gAqQy2Z6s8R5ZGJCTc/edit#gid=1271166664"",""Total Report!AV35"")"),2)</f>
        <v>2</v>
      </c>
      <c r="AU16" s="193">
        <f ca="1">IFERROR(__xludf.DUMMYFUNCTION("IMPORTRANGE(""https://docs.google.com/spreadsheets/d/1u_5HmT3-RnSjbo8rH_K-Jubv3gAqQy2Z6s8R5ZGJCTc/edit#gid=1271166664"",""Total Report!AW35"")"),0)</f>
        <v>0</v>
      </c>
      <c r="AV16" s="191">
        <f ca="1">IFERROR(__xludf.DUMMYFUNCTION("IMPORTRANGE(""https://docs.google.com/spreadsheets/d/1u_5HmT3-RnSjbo8rH_K-Jubv3gAqQy2Z6s8R5ZGJCTc/edit#gid=1271166664"",""Total Report!AX35"")"),0)</f>
        <v>0</v>
      </c>
      <c r="AW16" s="192">
        <f ca="1">IFERROR(__xludf.DUMMYFUNCTION("IMPORTRANGE(""https://docs.google.com/spreadsheets/d/1u_5HmT3-RnSjbo8rH_K-Jubv3gAqQy2Z6s8R5ZGJCTc/edit#gid=1271166664"",""Total Report!AY35"")"),0)</f>
        <v>0</v>
      </c>
      <c r="AX16" s="589">
        <f t="shared" ca="1" si="4"/>
        <v>100</v>
      </c>
      <c r="AY16" s="589">
        <f t="shared" ca="1" si="5"/>
        <v>136</v>
      </c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  <c r="CA16" s="147"/>
      <c r="CB16" s="147"/>
    </row>
    <row r="17" spans="1:80" s="148" customFormat="1" ht="13.5" thickBot="1">
      <c r="A17" s="149" t="s">
        <v>71</v>
      </c>
      <c r="B17" s="150">
        <f t="shared" ref="B17:AW17" ca="1" si="6">SUM(B12:B16)</f>
        <v>26</v>
      </c>
      <c r="C17" s="151">
        <f t="shared" ca="1" si="6"/>
        <v>27</v>
      </c>
      <c r="D17" s="152">
        <f t="shared" ca="1" si="6"/>
        <v>89</v>
      </c>
      <c r="E17" s="153">
        <f t="shared" ca="1" si="6"/>
        <v>51</v>
      </c>
      <c r="F17" s="151">
        <f t="shared" ca="1" si="6"/>
        <v>50</v>
      </c>
      <c r="G17" s="154">
        <f t="shared" ca="1" si="6"/>
        <v>155</v>
      </c>
      <c r="H17" s="150">
        <f t="shared" ca="1" si="6"/>
        <v>16</v>
      </c>
      <c r="I17" s="151">
        <f t="shared" ca="1" si="6"/>
        <v>21</v>
      </c>
      <c r="J17" s="152">
        <f t="shared" ca="1" si="6"/>
        <v>52</v>
      </c>
      <c r="K17" s="153">
        <f t="shared" ca="1" si="6"/>
        <v>24</v>
      </c>
      <c r="L17" s="151">
        <f t="shared" ca="1" si="6"/>
        <v>24</v>
      </c>
      <c r="M17" s="154">
        <f t="shared" ca="1" si="6"/>
        <v>58</v>
      </c>
      <c r="N17" s="150">
        <f t="shared" ca="1" si="6"/>
        <v>55</v>
      </c>
      <c r="O17" s="151">
        <f t="shared" ca="1" si="6"/>
        <v>54</v>
      </c>
      <c r="P17" s="152">
        <f t="shared" ca="1" si="6"/>
        <v>191</v>
      </c>
      <c r="Q17" s="153">
        <f t="shared" ca="1" si="6"/>
        <v>25</v>
      </c>
      <c r="R17" s="151">
        <f t="shared" ca="1" si="6"/>
        <v>26</v>
      </c>
      <c r="S17" s="154">
        <f t="shared" ca="1" si="6"/>
        <v>78</v>
      </c>
      <c r="T17" s="150">
        <f t="shared" ca="1" si="6"/>
        <v>12</v>
      </c>
      <c r="U17" s="151">
        <f t="shared" ca="1" si="6"/>
        <v>12</v>
      </c>
      <c r="V17" s="152">
        <f t="shared" ca="1" si="6"/>
        <v>40</v>
      </c>
      <c r="W17" s="153">
        <f t="shared" ca="1" si="6"/>
        <v>26</v>
      </c>
      <c r="X17" s="151">
        <f t="shared" ca="1" si="6"/>
        <v>27</v>
      </c>
      <c r="Y17" s="154">
        <f t="shared" ca="1" si="6"/>
        <v>77</v>
      </c>
      <c r="Z17" s="150">
        <f t="shared" ca="1" si="6"/>
        <v>21</v>
      </c>
      <c r="AA17" s="151">
        <f t="shared" ca="1" si="6"/>
        <v>21</v>
      </c>
      <c r="AB17" s="152">
        <f t="shared" ca="1" si="6"/>
        <v>61</v>
      </c>
      <c r="AC17" s="153">
        <f t="shared" ca="1" si="6"/>
        <v>20</v>
      </c>
      <c r="AD17" s="151">
        <f t="shared" ca="1" si="6"/>
        <v>25</v>
      </c>
      <c r="AE17" s="154">
        <f t="shared" ca="1" si="6"/>
        <v>82</v>
      </c>
      <c r="AF17" s="150">
        <f t="shared" ca="1" si="6"/>
        <v>44</v>
      </c>
      <c r="AG17" s="151">
        <f t="shared" ca="1" si="6"/>
        <v>51</v>
      </c>
      <c r="AH17" s="152">
        <f t="shared" ca="1" si="6"/>
        <v>156</v>
      </c>
      <c r="AI17" s="153">
        <f t="shared" ca="1" si="6"/>
        <v>91</v>
      </c>
      <c r="AJ17" s="151">
        <f t="shared" ca="1" si="6"/>
        <v>103</v>
      </c>
      <c r="AK17" s="154">
        <f t="shared" ca="1" si="6"/>
        <v>248</v>
      </c>
      <c r="AL17" s="150">
        <f t="shared" ca="1" si="6"/>
        <v>5</v>
      </c>
      <c r="AM17" s="151">
        <f t="shared" ca="1" si="6"/>
        <v>3</v>
      </c>
      <c r="AN17" s="152">
        <f t="shared" ca="1" si="6"/>
        <v>25</v>
      </c>
      <c r="AO17" s="153">
        <f t="shared" ca="1" si="6"/>
        <v>9</v>
      </c>
      <c r="AP17" s="151">
        <f t="shared" ca="1" si="6"/>
        <v>11</v>
      </c>
      <c r="AQ17" s="154">
        <f t="shared" ca="1" si="6"/>
        <v>22</v>
      </c>
      <c r="AR17" s="150">
        <f t="shared" ca="1" si="6"/>
        <v>4</v>
      </c>
      <c r="AS17" s="151">
        <f t="shared" ca="1" si="6"/>
        <v>4</v>
      </c>
      <c r="AT17" s="152">
        <f t="shared" ca="1" si="6"/>
        <v>14</v>
      </c>
      <c r="AU17" s="153">
        <f t="shared" ca="1" si="6"/>
        <v>0</v>
      </c>
      <c r="AV17" s="151">
        <f t="shared" ca="1" si="6"/>
        <v>0</v>
      </c>
      <c r="AW17" s="152">
        <f t="shared" ca="1" si="6"/>
        <v>0</v>
      </c>
      <c r="AX17" s="592">
        <f t="shared" ref="AX17:AY17" ca="1" si="7">SUM(AX12:AX16)</f>
        <v>429</v>
      </c>
      <c r="AY17" s="592">
        <f t="shared" ca="1" si="7"/>
        <v>459</v>
      </c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47"/>
    </row>
    <row r="18" spans="1:80" ht="13.5" thickBot="1">
      <c r="A18" s="88" t="s">
        <v>63</v>
      </c>
      <c r="B18" s="146">
        <v>588</v>
      </c>
      <c r="C18" s="142"/>
      <c r="D18" s="144">
        <v>2313.13</v>
      </c>
      <c r="E18" s="145">
        <f ca="1">ภ.1!$B$38</f>
        <v>640</v>
      </c>
      <c r="F18" s="142"/>
      <c r="G18" s="143">
        <v>3600.15</v>
      </c>
      <c r="H18" s="146">
        <v>576</v>
      </c>
      <c r="I18" s="142"/>
      <c r="J18" s="144">
        <v>2110.98</v>
      </c>
      <c r="K18" s="145">
        <v>331</v>
      </c>
      <c r="L18" s="142"/>
      <c r="M18" s="90">
        <v>1795.47</v>
      </c>
      <c r="N18" s="146">
        <v>656</v>
      </c>
      <c r="O18" s="142"/>
      <c r="P18" s="144">
        <v>2855.47</v>
      </c>
      <c r="Q18" s="344">
        <f ca="1">ภ.5!$B$38</f>
        <v>563</v>
      </c>
      <c r="R18" s="142"/>
      <c r="S18" s="143">
        <v>1877.6</v>
      </c>
      <c r="T18" s="146">
        <v>348</v>
      </c>
      <c r="U18" s="142"/>
      <c r="V18" s="89">
        <v>980.09</v>
      </c>
      <c r="W18" s="145">
        <f ca="1">ภ.7!$B$38</f>
        <v>402</v>
      </c>
      <c r="X18" s="142"/>
      <c r="Y18" s="90">
        <v>1579.43</v>
      </c>
      <c r="Z18" s="345">
        <f ca="1">ภ.8!$B$38</f>
        <v>301</v>
      </c>
      <c r="AA18" s="142"/>
      <c r="AB18" s="89">
        <v>1934.79</v>
      </c>
      <c r="AC18" s="145">
        <f ca="1">ภ.9!$B$38</f>
        <v>305</v>
      </c>
      <c r="AD18" s="142"/>
      <c r="AE18" s="90">
        <v>684.84</v>
      </c>
      <c r="AF18" s="146">
        <v>864</v>
      </c>
      <c r="AG18" s="142"/>
      <c r="AH18" s="89">
        <v>3192.91</v>
      </c>
      <c r="AI18" s="145">
        <f ca="1">บช.สอท.!$B$38</f>
        <v>315</v>
      </c>
      <c r="AJ18" s="142"/>
      <c r="AK18" s="90">
        <v>833.64</v>
      </c>
      <c r="AL18" s="146">
        <v>195</v>
      </c>
      <c r="AM18" s="142"/>
      <c r="AN18" s="89">
        <v>473.11</v>
      </c>
      <c r="AO18" s="145">
        <v>373</v>
      </c>
      <c r="AP18" s="142"/>
      <c r="AQ18" s="90">
        <v>469.85</v>
      </c>
      <c r="AR18" s="146">
        <v>209</v>
      </c>
      <c r="AS18" s="142"/>
      <c r="AT18" s="89">
        <v>321.54000000000002</v>
      </c>
      <c r="AU18" s="145">
        <f ca="1">บช.ตชด.!$B$38</f>
        <v>9</v>
      </c>
      <c r="AV18" s="142"/>
      <c r="AW18" s="144">
        <v>22</v>
      </c>
      <c r="AX18" s="593">
        <f ca="1">SUM(B18,E18,H18,K18,N18,Q18,T18,W18,Z18,AC18,AF18,AI18,AL18,AO18,AR18,AU18)</f>
        <v>6675</v>
      </c>
      <c r="AY18" s="594" t="s">
        <v>78</v>
      </c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</row>
  </sheetData>
  <mergeCells count="20">
    <mergeCell ref="AX2:AY2"/>
    <mergeCell ref="AC2:AE2"/>
    <mergeCell ref="AF2:AH2"/>
    <mergeCell ref="B1:D1"/>
    <mergeCell ref="E1:J1"/>
    <mergeCell ref="B2:D2"/>
    <mergeCell ref="E2:G2"/>
    <mergeCell ref="H2:J2"/>
    <mergeCell ref="K2:M2"/>
    <mergeCell ref="Z2:AB2"/>
    <mergeCell ref="AI2:AK2"/>
    <mergeCell ref="AL2:AN2"/>
    <mergeCell ref="AO2:AQ2"/>
    <mergeCell ref="AR2:AT2"/>
    <mergeCell ref="AU2:AW2"/>
    <mergeCell ref="A2:A3"/>
    <mergeCell ref="N2:P2"/>
    <mergeCell ref="Q2:S2"/>
    <mergeCell ref="T2:V2"/>
    <mergeCell ref="W2:Y2"/>
  </mergeCells>
  <pageMargins left="0.7" right="0.7" top="0.75" bottom="0.75" header="0.3" footer="0.3"/>
  <pageSetup paperSize="9" fitToWidth="0" orientation="landscape" r:id="rId1"/>
  <colBreaks count="4" manualBreakCount="4">
    <brk id="13" max="1048575" man="1"/>
    <brk id="25" max="1048575" man="1"/>
    <brk id="37" max="1048575" man="1"/>
    <brk id="49" max="1048575" man="1"/>
  </colBreaks>
  <ignoredErrors>
    <ignoredError sqref="AX1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/>
      <c r="C2" s="102" t="s">
        <v>72</v>
      </c>
      <c r="D2" s="103" t="str">
        <f ca="1">IFERROR(__xludf.DUMMYFUNCTION("QUERY('Form Responses 1'!A:BE,""select * where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2</v>
      </c>
      <c r="B3" s="105" t="s">
        <v>73</v>
      </c>
      <c r="C3" s="106" t="s">
        <v>73</v>
      </c>
      <c r="D3" s="107">
        <f ca="1">IFERROR(__xludf.DUMMYFUNCTION("""COMPUTED_VALUE"""),44463.3288952083)</f>
        <v>44463.328895208302</v>
      </c>
      <c r="E3" s="103" t="str">
        <f ca="1">IFERROR(__xludf.DUMMYFUNCTION("""COMPUTED_VALUE"""),"p3@rtp.com")</f>
        <v>p3@rtp.com</v>
      </c>
      <c r="F3" s="108" t="str">
        <f ca="1">IFERROR(__xludf.DUMMYFUNCTION("""COMPUTED_VALUE"""),"rtp2021")</f>
        <v>rtp2021</v>
      </c>
      <c r="G3" s="103"/>
      <c r="H3" s="108" t="str">
        <f ca="1">IFERROR(__xludf.DUMMYFUNCTION("""COMPUTED_VALUE"""),"ภ.3")</f>
        <v>ภ.3</v>
      </c>
      <c r="I3" s="108">
        <f ca="1">IFERROR(__xludf.DUMMYFUNCTION("""COMPUTED_VALUE"""),0)</f>
        <v>0</v>
      </c>
      <c r="J3" s="108">
        <f ca="1">IFERROR(__xludf.DUMMYFUNCTION("""COMPUTED_VALUE"""),0)</f>
        <v>0</v>
      </c>
      <c r="K3" s="108">
        <f ca="1">IFERROR(__xludf.DUMMYFUNCTION("""COMPUTED_VALUE"""),0)</f>
        <v>0</v>
      </c>
      <c r="L3" s="108">
        <f ca="1">IFERROR(__xludf.DUMMYFUNCTION("""COMPUTED_VALUE"""),0)</f>
        <v>0</v>
      </c>
      <c r="M3" s="108">
        <f ca="1">IFERROR(__xludf.DUMMYFUNCTION("""COMPUTED_VALUE"""),0)</f>
        <v>0</v>
      </c>
      <c r="N3" s="108">
        <f ca="1">IFERROR(__xludf.DUMMYFUNCTION("""COMPUTED_VALUE"""),0)</f>
        <v>0</v>
      </c>
      <c r="O3" s="108"/>
      <c r="P3" s="108"/>
      <c r="Q3" s="108">
        <f ca="1">IFERROR(__xludf.DUMMYFUNCTION("""COMPUTED_VALUE"""),8)</f>
        <v>8</v>
      </c>
      <c r="R3" s="108">
        <f ca="1">IFERROR(__xludf.DUMMYFUNCTION("""COMPUTED_VALUE"""),8)</f>
        <v>8</v>
      </c>
      <c r="S3" s="108">
        <f ca="1">IFERROR(__xludf.DUMMYFUNCTION("""COMPUTED_VALUE"""),24)</f>
        <v>24</v>
      </c>
      <c r="T3" s="108">
        <f ca="1">IFERROR(__xludf.DUMMYFUNCTION("""COMPUTED_VALUE"""),37)</f>
        <v>37</v>
      </c>
      <c r="U3" s="108">
        <f ca="1">IFERROR(__xludf.DUMMYFUNCTION("""COMPUTED_VALUE"""),1)</f>
        <v>1</v>
      </c>
      <c r="V3" s="108">
        <f ca="1">IFERROR(__xludf.DUMMYFUNCTION("""COMPUTED_VALUE"""),1)</f>
        <v>1</v>
      </c>
      <c r="W3" s="108">
        <f ca="1">IFERROR(__xludf.DUMMYFUNCTION("""COMPUTED_VALUE"""),0)</f>
        <v>0</v>
      </c>
      <c r="X3" s="108">
        <f ca="1">IFERROR(__xludf.DUMMYFUNCTION("""COMPUTED_VALUE"""),0)</f>
        <v>0</v>
      </c>
      <c r="Y3" s="108">
        <f ca="1">IFERROR(__xludf.DUMMYFUNCTION("""COMPUTED_VALUE"""),0)</f>
        <v>0</v>
      </c>
      <c r="Z3" s="108">
        <f ca="1">IFERROR(__xludf.DUMMYFUNCTION("""COMPUTED_VALUE"""),0)</f>
        <v>0</v>
      </c>
      <c r="AA3" s="108">
        <f ca="1">IFERROR(__xludf.DUMMYFUNCTION("""COMPUTED_VALUE"""),2)</f>
        <v>2</v>
      </c>
      <c r="AB3" s="108">
        <f ca="1">IFERROR(__xludf.DUMMYFUNCTION("""COMPUTED_VALUE"""),3)</f>
        <v>3</v>
      </c>
      <c r="AC3" s="108">
        <f ca="1">IFERROR(__xludf.DUMMYFUNCTION("""COMPUTED_VALUE"""),14)</f>
        <v>14</v>
      </c>
      <c r="AD3" s="108">
        <f ca="1">IFERROR(__xludf.DUMMYFUNCTION("""COMPUTED_VALUE"""),17)</f>
        <v>17</v>
      </c>
      <c r="AE3" s="108">
        <f ca="1">IFERROR(__xludf.DUMMYFUNCTION("""COMPUTED_VALUE"""),14)</f>
        <v>14</v>
      </c>
      <c r="AF3" s="108">
        <f ca="1">IFERROR(__xludf.DUMMYFUNCTION("""COMPUTED_VALUE"""),15)</f>
        <v>15</v>
      </c>
      <c r="AG3" s="108">
        <f ca="1">IFERROR(__xludf.DUMMYFUNCTION("""COMPUTED_VALUE"""),66)</f>
        <v>66</v>
      </c>
      <c r="AH3" s="108">
        <f ca="1">IFERROR(__xludf.DUMMYFUNCTION("""COMPUTED_VALUE"""),66)</f>
        <v>66</v>
      </c>
      <c r="AI3" s="108">
        <f ca="1">IFERROR(__xludf.DUMMYFUNCTION("""COMPUTED_VALUE"""),0)</f>
        <v>0</v>
      </c>
      <c r="AJ3" s="108">
        <f ca="1">IFERROR(__xludf.DUMMYFUNCTION("""COMPUTED_VALUE"""),0)</f>
        <v>0</v>
      </c>
      <c r="AK3" s="108">
        <f ca="1">IFERROR(__xludf.DUMMYFUNCTION("""COMPUTED_VALUE"""),0)</f>
        <v>0</v>
      </c>
      <c r="AL3" s="108">
        <f ca="1">IFERROR(__xludf.DUMMYFUNCTION("""COMPUTED_VALUE"""),0)</f>
        <v>0</v>
      </c>
      <c r="AM3" s="108">
        <f ca="1">IFERROR(__xludf.DUMMYFUNCTION("""COMPUTED_VALUE"""),0)</f>
        <v>0</v>
      </c>
      <c r="AN3" s="108">
        <f ca="1">IFERROR(__xludf.DUMMYFUNCTION("""COMPUTED_VALUE"""),0)</f>
        <v>0</v>
      </c>
      <c r="AO3" s="108">
        <f ca="1">IFERROR(__xludf.DUMMYFUNCTION("""COMPUTED_VALUE"""),0)</f>
        <v>0</v>
      </c>
      <c r="AP3" s="108">
        <f ca="1">IFERROR(__xludf.DUMMYFUNCTION("""COMPUTED_VALUE"""),0)</f>
        <v>0</v>
      </c>
      <c r="AQ3" s="108">
        <f ca="1">IFERROR(__xludf.DUMMYFUNCTION("""COMPUTED_VALUE"""),2)</f>
        <v>2</v>
      </c>
      <c r="AR3" s="108">
        <f ca="1">IFERROR(__xludf.DUMMYFUNCTION("""COMPUTED_VALUE"""),2)</f>
        <v>2</v>
      </c>
      <c r="AS3" s="108">
        <f ca="1">IFERROR(__xludf.DUMMYFUNCTION("""COMPUTED_VALUE"""),1)</f>
        <v>1</v>
      </c>
      <c r="AT3" s="108">
        <f ca="1">IFERROR(__xludf.DUMMYFUNCTION("""COMPUTED_VALUE"""),1)</f>
        <v>1</v>
      </c>
      <c r="AU3" s="108">
        <f ca="1">IFERROR(__xludf.DUMMYFUNCTION("""COMPUTED_VALUE"""),0)</f>
        <v>0</v>
      </c>
      <c r="AV3" s="108">
        <f ca="1">IFERROR(__xludf.DUMMYFUNCTION("""COMPUTED_VALUE"""),0)</f>
        <v>0</v>
      </c>
      <c r="AW3" s="108">
        <f ca="1">IFERROR(__xludf.DUMMYFUNCTION("""COMPUTED_VALUE"""),11)</f>
        <v>11</v>
      </c>
      <c r="AX3" s="108">
        <f ca="1">IFERROR(__xludf.DUMMYFUNCTION("""COMPUTED_VALUE"""),11)</f>
        <v>11</v>
      </c>
      <c r="AY3" s="108">
        <f ca="1">IFERROR(__xludf.DUMMYFUNCTION("""COMPUTED_VALUE"""),0)</f>
        <v>0</v>
      </c>
      <c r="AZ3" s="108">
        <f ca="1">IFERROR(__xludf.DUMMYFUNCTION("""COMPUTED_VALUE"""),0)</f>
        <v>0</v>
      </c>
      <c r="BA3" s="108">
        <f ca="1">IFERROR(__xludf.DUMMYFUNCTION("""COMPUTED_VALUE"""),23)</f>
        <v>23</v>
      </c>
      <c r="BB3" s="108">
        <f ca="1">IFERROR(__xludf.DUMMYFUNCTION("""COMPUTED_VALUE"""),21)</f>
        <v>21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  <c r="D4" s="107">
        <f ca="1">IFERROR(__xludf.DUMMYFUNCTION("""COMPUTED_VALUE"""),44464.2669233101)</f>
        <v>44464.266923310097</v>
      </c>
      <c r="E4" s="103" t="str">
        <f ca="1">IFERROR(__xludf.DUMMYFUNCTION("""COMPUTED_VALUE"""),"p3@rtp.com")</f>
        <v>p3@rtp.com</v>
      </c>
      <c r="F4" s="103" t="str">
        <f ca="1">IFERROR(__xludf.DUMMYFUNCTION("""COMPUTED_VALUE"""),"rtp2021")</f>
        <v>rtp2021</v>
      </c>
      <c r="G4" s="103"/>
      <c r="H4" s="103" t="str">
        <f ca="1">IFERROR(__xludf.DUMMYFUNCTION("""COMPUTED_VALUE"""),"ภ.3")</f>
        <v>ภ.3</v>
      </c>
      <c r="I4" s="103">
        <f ca="1">IFERROR(__xludf.DUMMYFUNCTION("""COMPUTED_VALUE"""),0)</f>
        <v>0</v>
      </c>
      <c r="J4" s="103">
        <f ca="1">IFERROR(__xludf.DUMMYFUNCTION("""COMPUTED_VALUE"""),0)</f>
        <v>0</v>
      </c>
      <c r="K4" s="103"/>
      <c r="L4" s="103"/>
      <c r="M4" s="103">
        <f ca="1">IFERROR(__xludf.DUMMYFUNCTION("""COMPUTED_VALUE"""),14)</f>
        <v>14</v>
      </c>
      <c r="N4" s="103">
        <f ca="1">IFERROR(__xludf.DUMMYFUNCTION("""COMPUTED_VALUE"""),14)</f>
        <v>14</v>
      </c>
      <c r="O4" s="103"/>
      <c r="P4" s="103"/>
      <c r="Q4" s="103">
        <f ca="1">IFERROR(__xludf.DUMMYFUNCTION("""COMPUTED_VALUE"""),8)</f>
        <v>8</v>
      </c>
      <c r="R4" s="103">
        <f ca="1">IFERROR(__xludf.DUMMYFUNCTION("""COMPUTED_VALUE"""),8)</f>
        <v>8</v>
      </c>
      <c r="S4" s="103">
        <f ca="1">IFERROR(__xludf.DUMMYFUNCTION("""COMPUTED_VALUE"""),28)</f>
        <v>28</v>
      </c>
      <c r="T4" s="103">
        <f ca="1">IFERROR(__xludf.DUMMYFUNCTION("""COMPUTED_VALUE"""),32)</f>
        <v>32</v>
      </c>
      <c r="U4" s="103">
        <f ca="1">IFERROR(__xludf.DUMMYFUNCTION("""COMPUTED_VALUE"""),1)</f>
        <v>1</v>
      </c>
      <c r="V4" s="103">
        <f ca="1">IFERROR(__xludf.DUMMYFUNCTION("""COMPUTED_VALUE"""),1)</f>
        <v>1</v>
      </c>
      <c r="W4" s="103">
        <f ca="1">IFERROR(__xludf.DUMMYFUNCTION("""COMPUTED_VALUE"""),0)</f>
        <v>0</v>
      </c>
      <c r="X4" s="103">
        <f ca="1">IFERROR(__xludf.DUMMYFUNCTION("""COMPUTED_VALUE"""),0)</f>
        <v>0</v>
      </c>
      <c r="Y4" s="103">
        <f ca="1">IFERROR(__xludf.DUMMYFUNCTION("""COMPUTED_VALUE"""),0)</f>
        <v>0</v>
      </c>
      <c r="Z4" s="103">
        <f ca="1">IFERROR(__xludf.DUMMYFUNCTION("""COMPUTED_VALUE"""),0)</f>
        <v>0</v>
      </c>
      <c r="AA4" s="103">
        <f ca="1">IFERROR(__xludf.DUMMYFUNCTION("""COMPUTED_VALUE"""),0)</f>
        <v>0</v>
      </c>
      <c r="AB4" s="103">
        <f ca="1">IFERROR(__xludf.DUMMYFUNCTION("""COMPUTED_VALUE"""),0)</f>
        <v>0</v>
      </c>
      <c r="AC4" s="103">
        <f ca="1">IFERROR(__xludf.DUMMYFUNCTION("""COMPUTED_VALUE"""),20)</f>
        <v>20</v>
      </c>
      <c r="AD4" s="103">
        <f ca="1">IFERROR(__xludf.DUMMYFUNCTION("""COMPUTED_VALUE"""),20)</f>
        <v>20</v>
      </c>
      <c r="AE4" s="103">
        <f ca="1">IFERROR(__xludf.DUMMYFUNCTION("""COMPUTED_VALUE"""),16)</f>
        <v>16</v>
      </c>
      <c r="AF4" s="103">
        <f ca="1">IFERROR(__xludf.DUMMYFUNCTION("""COMPUTED_VALUE"""),16)</f>
        <v>16</v>
      </c>
      <c r="AG4" s="103">
        <f ca="1">IFERROR(__xludf.DUMMYFUNCTION("""COMPUTED_VALUE"""),60)</f>
        <v>60</v>
      </c>
      <c r="AH4" s="103">
        <f ca="1">IFERROR(__xludf.DUMMYFUNCTION("""COMPUTED_VALUE"""),60)</f>
        <v>60</v>
      </c>
      <c r="AI4" s="103">
        <f ca="1">IFERROR(__xludf.DUMMYFUNCTION("""COMPUTED_VALUE"""),0)</f>
        <v>0</v>
      </c>
      <c r="AJ4" s="103">
        <f ca="1">IFERROR(__xludf.DUMMYFUNCTION("""COMPUTED_VALUE"""),0)</f>
        <v>0</v>
      </c>
      <c r="AK4" s="103">
        <f ca="1">IFERROR(__xludf.DUMMYFUNCTION("""COMPUTED_VALUE"""),0)</f>
        <v>0</v>
      </c>
      <c r="AL4" s="103">
        <f ca="1">IFERROR(__xludf.DUMMYFUNCTION("""COMPUTED_VALUE"""),0)</f>
        <v>0</v>
      </c>
      <c r="AM4" s="103">
        <f ca="1">IFERROR(__xludf.DUMMYFUNCTION("""COMPUTED_VALUE"""),0)</f>
        <v>0</v>
      </c>
      <c r="AN4" s="103">
        <f ca="1">IFERROR(__xludf.DUMMYFUNCTION("""COMPUTED_VALUE"""),0)</f>
        <v>0</v>
      </c>
      <c r="AO4" s="103">
        <f ca="1">IFERROR(__xludf.DUMMYFUNCTION("""COMPUTED_VALUE"""),0)</f>
        <v>0</v>
      </c>
      <c r="AP4" s="103">
        <f ca="1">IFERROR(__xludf.DUMMYFUNCTION("""COMPUTED_VALUE"""),0)</f>
        <v>0</v>
      </c>
      <c r="AQ4" s="103">
        <f ca="1">IFERROR(__xludf.DUMMYFUNCTION("""COMPUTED_VALUE"""),11)</f>
        <v>11</v>
      </c>
      <c r="AR4" s="103">
        <f ca="1">IFERROR(__xludf.DUMMYFUNCTION("""COMPUTED_VALUE"""),11)</f>
        <v>11</v>
      </c>
      <c r="AS4" s="103"/>
      <c r="AT4" s="103"/>
      <c r="AU4" s="103"/>
      <c r="AV4" s="103"/>
      <c r="AW4" s="103">
        <f ca="1">IFERROR(__xludf.DUMMYFUNCTION("""COMPUTED_VALUE"""),28)</f>
        <v>28</v>
      </c>
      <c r="AX4" s="103">
        <f ca="1">IFERROR(__xludf.DUMMYFUNCTION("""COMPUTED_VALUE"""),28)</f>
        <v>28</v>
      </c>
      <c r="AY4" s="103">
        <f ca="1">IFERROR(__xludf.DUMMYFUNCTION("""COMPUTED_VALUE"""),0)</f>
        <v>0</v>
      </c>
      <c r="AZ4" s="103">
        <f ca="1">IFERROR(__xludf.DUMMYFUNCTION("""COMPUTED_VALUE"""),0)</f>
        <v>0</v>
      </c>
      <c r="BA4" s="103">
        <f ca="1">IFERROR(__xludf.DUMMYFUNCTION("""COMPUTED_VALUE"""),38)</f>
        <v>38</v>
      </c>
      <c r="BB4" s="103">
        <f ca="1">IFERROR(__xludf.DUMMYFUNCTION("""COMPUTED_VALUE"""),36)</f>
        <v>36</v>
      </c>
      <c r="BC4" s="103"/>
      <c r="BD4" s="103"/>
      <c r="BE4" s="103"/>
      <c r="BF4" s="103"/>
      <c r="BG4" s="103"/>
      <c r="BH4" s="103"/>
    </row>
    <row r="5" spans="1:67" ht="12.75">
      <c r="A5" s="638"/>
      <c r="B5" s="109" t="s">
        <v>21</v>
      </c>
      <c r="C5" s="110" t="s">
        <v>22</v>
      </c>
      <c r="D5" s="107">
        <f ca="1">IFERROR(__xludf.DUMMYFUNCTION("""COMPUTED_VALUE"""),44465.308507824)</f>
        <v>44465.308507823996</v>
      </c>
      <c r="E5" s="103" t="str">
        <f ca="1">IFERROR(__xludf.DUMMYFUNCTION("""COMPUTED_VALUE"""),"p3@rtp.com")</f>
        <v>p3@rtp.com</v>
      </c>
      <c r="F5" s="103" t="str">
        <f ca="1">IFERROR(__xludf.DUMMYFUNCTION("""COMPUTED_VALUE"""),"rtp2021")</f>
        <v>rtp2021</v>
      </c>
      <c r="G5" s="103"/>
      <c r="H5" s="103" t="str">
        <f ca="1">IFERROR(__xludf.DUMMYFUNCTION("""COMPUTED_VALUE"""),"ภ.3")</f>
        <v>ภ.3</v>
      </c>
      <c r="I5" s="103">
        <f ca="1">IFERROR(__xludf.DUMMYFUNCTION("""COMPUTED_VALUE"""),0)</f>
        <v>0</v>
      </c>
      <c r="J5" s="103">
        <f ca="1">IFERROR(__xludf.DUMMYFUNCTION("""COMPUTED_VALUE"""),0)</f>
        <v>0</v>
      </c>
      <c r="K5" s="103">
        <f ca="1">IFERROR(__xludf.DUMMYFUNCTION("""COMPUTED_VALUE"""),0)</f>
        <v>0</v>
      </c>
      <c r="L5" s="103">
        <f ca="1">IFERROR(__xludf.DUMMYFUNCTION("""COMPUTED_VALUE"""),0)</f>
        <v>0</v>
      </c>
      <c r="M5" s="103">
        <f ca="1">IFERROR(__xludf.DUMMYFUNCTION("""COMPUTED_VALUE"""),3)</f>
        <v>3</v>
      </c>
      <c r="N5" s="103">
        <f ca="1">IFERROR(__xludf.DUMMYFUNCTION("""COMPUTED_VALUE"""),3)</f>
        <v>3</v>
      </c>
      <c r="O5" s="103">
        <f ca="1">IFERROR(__xludf.DUMMYFUNCTION("""COMPUTED_VALUE"""),0)</f>
        <v>0</v>
      </c>
      <c r="P5" s="103">
        <f ca="1">IFERROR(__xludf.DUMMYFUNCTION("""COMPUTED_VALUE"""),0)</f>
        <v>0</v>
      </c>
      <c r="Q5" s="103">
        <f ca="1">IFERROR(__xludf.DUMMYFUNCTION("""COMPUTED_VALUE"""),8)</f>
        <v>8</v>
      </c>
      <c r="R5" s="103">
        <f ca="1">IFERROR(__xludf.DUMMYFUNCTION("""COMPUTED_VALUE"""),8)</f>
        <v>8</v>
      </c>
      <c r="S5" s="103">
        <f ca="1">IFERROR(__xludf.DUMMYFUNCTION("""COMPUTED_VALUE"""),58)</f>
        <v>58</v>
      </c>
      <c r="T5" s="103">
        <f ca="1">IFERROR(__xludf.DUMMYFUNCTION("""COMPUTED_VALUE"""),81)</f>
        <v>81</v>
      </c>
      <c r="U5" s="103">
        <f ca="1">IFERROR(__xludf.DUMMYFUNCTION("""COMPUTED_VALUE"""),1)</f>
        <v>1</v>
      </c>
      <c r="V5" s="103">
        <f ca="1">IFERROR(__xludf.DUMMYFUNCTION("""COMPUTED_VALUE"""),1)</f>
        <v>1</v>
      </c>
      <c r="W5" s="103">
        <f ca="1">IFERROR(__xludf.DUMMYFUNCTION("""COMPUTED_VALUE"""),0)</f>
        <v>0</v>
      </c>
      <c r="X5" s="103">
        <f ca="1">IFERROR(__xludf.DUMMYFUNCTION("""COMPUTED_VALUE"""),0)</f>
        <v>0</v>
      </c>
      <c r="Y5" s="103">
        <f ca="1">IFERROR(__xludf.DUMMYFUNCTION("""COMPUTED_VALUE"""),0)</f>
        <v>0</v>
      </c>
      <c r="Z5" s="103">
        <f ca="1">IFERROR(__xludf.DUMMYFUNCTION("""COMPUTED_VALUE"""),0)</f>
        <v>0</v>
      </c>
      <c r="AA5" s="103">
        <f ca="1">IFERROR(__xludf.DUMMYFUNCTION("""COMPUTED_VALUE"""),4)</f>
        <v>4</v>
      </c>
      <c r="AB5" s="103">
        <f ca="1">IFERROR(__xludf.DUMMYFUNCTION("""COMPUTED_VALUE"""),4)</f>
        <v>4</v>
      </c>
      <c r="AC5" s="103">
        <f ca="1">IFERROR(__xludf.DUMMYFUNCTION("""COMPUTED_VALUE"""),9)</f>
        <v>9</v>
      </c>
      <c r="AD5" s="103">
        <f ca="1">IFERROR(__xludf.DUMMYFUNCTION("""COMPUTED_VALUE"""),9)</f>
        <v>9</v>
      </c>
      <c r="AE5" s="103">
        <f ca="1">IFERROR(__xludf.DUMMYFUNCTION("""COMPUTED_VALUE"""),16)</f>
        <v>16</v>
      </c>
      <c r="AF5" s="103">
        <f ca="1">IFERROR(__xludf.DUMMYFUNCTION("""COMPUTED_VALUE"""),16)</f>
        <v>16</v>
      </c>
      <c r="AG5" s="103">
        <f ca="1">IFERROR(__xludf.DUMMYFUNCTION("""COMPUTED_VALUE"""),60)</f>
        <v>60</v>
      </c>
      <c r="AH5" s="103">
        <f ca="1">IFERROR(__xludf.DUMMYFUNCTION("""COMPUTED_VALUE"""),60)</f>
        <v>60</v>
      </c>
      <c r="AI5" s="103">
        <f ca="1">IFERROR(__xludf.DUMMYFUNCTION("""COMPUTED_VALUE"""),0)</f>
        <v>0</v>
      </c>
      <c r="AJ5" s="103">
        <f ca="1">IFERROR(__xludf.DUMMYFUNCTION("""COMPUTED_VALUE"""),0)</f>
        <v>0</v>
      </c>
      <c r="AK5" s="103">
        <f ca="1">IFERROR(__xludf.DUMMYFUNCTION("""COMPUTED_VALUE"""),0)</f>
        <v>0</v>
      </c>
      <c r="AL5" s="103">
        <f ca="1">IFERROR(__xludf.DUMMYFUNCTION("""COMPUTED_VALUE"""),0)</f>
        <v>0</v>
      </c>
      <c r="AM5" s="103">
        <f ca="1">IFERROR(__xludf.DUMMYFUNCTION("""COMPUTED_VALUE"""),7)</f>
        <v>7</v>
      </c>
      <c r="AN5" s="103">
        <f ca="1">IFERROR(__xludf.DUMMYFUNCTION("""COMPUTED_VALUE"""),7)</f>
        <v>7</v>
      </c>
      <c r="AO5" s="103">
        <f ca="1">IFERROR(__xludf.DUMMYFUNCTION("""COMPUTED_VALUE"""),0)</f>
        <v>0</v>
      </c>
      <c r="AP5" s="103">
        <f ca="1">IFERROR(__xludf.DUMMYFUNCTION("""COMPUTED_VALUE"""),0)</f>
        <v>0</v>
      </c>
      <c r="AQ5" s="103">
        <f ca="1">IFERROR(__xludf.DUMMYFUNCTION("""COMPUTED_VALUE"""),8)</f>
        <v>8</v>
      </c>
      <c r="AR5" s="103">
        <f ca="1">IFERROR(__xludf.DUMMYFUNCTION("""COMPUTED_VALUE"""),8)</f>
        <v>8</v>
      </c>
      <c r="AS5" s="103">
        <f ca="1">IFERROR(__xludf.DUMMYFUNCTION("""COMPUTED_VALUE"""),0)</f>
        <v>0</v>
      </c>
      <c r="AT5" s="103">
        <f ca="1">IFERROR(__xludf.DUMMYFUNCTION("""COMPUTED_VALUE"""),0)</f>
        <v>0</v>
      </c>
      <c r="AU5" s="103">
        <f ca="1">IFERROR(__xludf.DUMMYFUNCTION("""COMPUTED_VALUE"""),0)</f>
        <v>0</v>
      </c>
      <c r="AV5" s="103">
        <f ca="1">IFERROR(__xludf.DUMMYFUNCTION("""COMPUTED_VALUE"""),0)</f>
        <v>0</v>
      </c>
      <c r="AW5" s="103">
        <f ca="1">IFERROR(__xludf.DUMMYFUNCTION("""COMPUTED_VALUE"""),0)</f>
        <v>0</v>
      </c>
      <c r="AX5" s="103">
        <f ca="1">IFERROR(__xludf.DUMMYFUNCTION("""COMPUTED_VALUE"""),0)</f>
        <v>0</v>
      </c>
      <c r="AY5" s="103">
        <f ca="1">IFERROR(__xludf.DUMMYFUNCTION("""COMPUTED_VALUE"""),0)</f>
        <v>0</v>
      </c>
      <c r="AZ5" s="103">
        <f ca="1">IFERROR(__xludf.DUMMYFUNCTION("""COMPUTED_VALUE"""),0)</f>
        <v>0</v>
      </c>
      <c r="BA5" s="103">
        <f ca="1">IFERROR(__xludf.DUMMYFUNCTION("""COMPUTED_VALUE"""),30)</f>
        <v>30</v>
      </c>
      <c r="BB5" s="103">
        <f ca="1">IFERROR(__xludf.DUMMYFUNCTION("""COMPUTED_VALUE"""),29)</f>
        <v>29</v>
      </c>
      <c r="BC5" s="103"/>
      <c r="BD5" s="103"/>
      <c r="BE5" s="103"/>
      <c r="BF5" s="103"/>
      <c r="BG5" s="103"/>
      <c r="BH5" s="103"/>
    </row>
    <row r="6" spans="1:67" ht="12.75">
      <c r="A6" s="111" t="s">
        <v>23</v>
      </c>
      <c r="B6" s="112"/>
      <c r="C6" s="113"/>
      <c r="D6" s="107">
        <f ca="1">IFERROR(__xludf.DUMMYFUNCTION("""COMPUTED_VALUE"""),44466.2733005324)</f>
        <v>44466.273300532397</v>
      </c>
      <c r="E6" s="103" t="str">
        <f ca="1">IFERROR(__xludf.DUMMYFUNCTION("""COMPUTED_VALUE"""),"p3@rtp.com")</f>
        <v>p3@rtp.com</v>
      </c>
      <c r="F6" s="103" t="str">
        <f ca="1">IFERROR(__xludf.DUMMYFUNCTION("""COMPUTED_VALUE"""),"rtp2021")</f>
        <v>rtp2021</v>
      </c>
      <c r="G6" s="103"/>
      <c r="H6" s="103" t="str">
        <f ca="1">IFERROR(__xludf.DUMMYFUNCTION("""COMPUTED_VALUE"""),"ภ.3")</f>
        <v>ภ.3</v>
      </c>
      <c r="I6" s="103">
        <f ca="1">IFERROR(__xludf.DUMMYFUNCTION("""COMPUTED_VALUE"""),0)</f>
        <v>0</v>
      </c>
      <c r="J6" s="103">
        <f ca="1">IFERROR(__xludf.DUMMYFUNCTION("""COMPUTED_VALUE"""),0)</f>
        <v>0</v>
      </c>
      <c r="K6" s="103">
        <f ca="1">IFERROR(__xludf.DUMMYFUNCTION("""COMPUTED_VALUE"""),0)</f>
        <v>0</v>
      </c>
      <c r="L6" s="103">
        <f ca="1">IFERROR(__xludf.DUMMYFUNCTION("""COMPUTED_VALUE"""),0)</f>
        <v>0</v>
      </c>
      <c r="M6" s="103">
        <f ca="1">IFERROR(__xludf.DUMMYFUNCTION("""COMPUTED_VALUE"""),8)</f>
        <v>8</v>
      </c>
      <c r="N6" s="103">
        <f ca="1">IFERROR(__xludf.DUMMYFUNCTION("""COMPUTED_VALUE"""),8)</f>
        <v>8</v>
      </c>
      <c r="O6" s="103">
        <f ca="1">IFERROR(__xludf.DUMMYFUNCTION("""COMPUTED_VALUE"""),0)</f>
        <v>0</v>
      </c>
      <c r="P6" s="103">
        <f ca="1">IFERROR(__xludf.DUMMYFUNCTION("""COMPUTED_VALUE"""),0)</f>
        <v>0</v>
      </c>
      <c r="Q6" s="103">
        <f ca="1">IFERROR(__xludf.DUMMYFUNCTION("""COMPUTED_VALUE"""),7)</f>
        <v>7</v>
      </c>
      <c r="R6" s="103">
        <f ca="1">IFERROR(__xludf.DUMMYFUNCTION("""COMPUTED_VALUE"""),7)</f>
        <v>7</v>
      </c>
      <c r="S6" s="103">
        <f ca="1">IFERROR(__xludf.DUMMYFUNCTION("""COMPUTED_VALUE"""),43)</f>
        <v>43</v>
      </c>
      <c r="T6" s="103">
        <f ca="1">IFERROR(__xludf.DUMMYFUNCTION("""COMPUTED_VALUE"""),60)</f>
        <v>60</v>
      </c>
      <c r="U6" s="103">
        <f ca="1">IFERROR(__xludf.DUMMYFUNCTION("""COMPUTED_VALUE"""),3)</f>
        <v>3</v>
      </c>
      <c r="V6" s="103">
        <f ca="1">IFERROR(__xludf.DUMMYFUNCTION("""COMPUTED_VALUE"""),3)</f>
        <v>3</v>
      </c>
      <c r="W6" s="103">
        <f ca="1">IFERROR(__xludf.DUMMYFUNCTION("""COMPUTED_VALUE"""),0)</f>
        <v>0</v>
      </c>
      <c r="X6" s="103">
        <f ca="1">IFERROR(__xludf.DUMMYFUNCTION("""COMPUTED_VALUE"""),0)</f>
        <v>0</v>
      </c>
      <c r="Y6" s="103">
        <f ca="1">IFERROR(__xludf.DUMMYFUNCTION("""COMPUTED_VALUE"""),0)</f>
        <v>0</v>
      </c>
      <c r="Z6" s="103">
        <f ca="1">IFERROR(__xludf.DUMMYFUNCTION("""COMPUTED_VALUE"""),0)</f>
        <v>0</v>
      </c>
      <c r="AA6" s="103">
        <f ca="1">IFERROR(__xludf.DUMMYFUNCTION("""COMPUTED_VALUE"""),5)</f>
        <v>5</v>
      </c>
      <c r="AB6" s="103">
        <f ca="1">IFERROR(__xludf.DUMMYFUNCTION("""COMPUTED_VALUE"""),5)</f>
        <v>5</v>
      </c>
      <c r="AC6" s="103">
        <f ca="1">IFERROR(__xludf.DUMMYFUNCTION("""COMPUTED_VALUE"""),11)</f>
        <v>11</v>
      </c>
      <c r="AD6" s="103">
        <f ca="1">IFERROR(__xludf.DUMMYFUNCTION("""COMPUTED_VALUE"""),13)</f>
        <v>13</v>
      </c>
      <c r="AE6" s="103">
        <f ca="1">IFERROR(__xludf.DUMMYFUNCTION("""COMPUTED_VALUE"""),14)</f>
        <v>14</v>
      </c>
      <c r="AF6" s="103">
        <f ca="1">IFERROR(__xludf.DUMMYFUNCTION("""COMPUTED_VALUE"""),14)</f>
        <v>14</v>
      </c>
      <c r="AG6" s="103">
        <f ca="1">IFERROR(__xludf.DUMMYFUNCTION("""COMPUTED_VALUE"""),70)</f>
        <v>70</v>
      </c>
      <c r="AH6" s="103">
        <f ca="1">IFERROR(__xludf.DUMMYFUNCTION("""COMPUTED_VALUE"""),70)</f>
        <v>70</v>
      </c>
      <c r="AI6" s="103">
        <f ca="1">IFERROR(__xludf.DUMMYFUNCTION("""COMPUTED_VALUE"""),0)</f>
        <v>0</v>
      </c>
      <c r="AJ6" s="103">
        <f ca="1">IFERROR(__xludf.DUMMYFUNCTION("""COMPUTED_VALUE"""),0)</f>
        <v>0</v>
      </c>
      <c r="AK6" s="103">
        <f ca="1">IFERROR(__xludf.DUMMYFUNCTION("""COMPUTED_VALUE"""),0)</f>
        <v>0</v>
      </c>
      <c r="AL6" s="103">
        <f ca="1">IFERROR(__xludf.DUMMYFUNCTION("""COMPUTED_VALUE"""),0)</f>
        <v>0</v>
      </c>
      <c r="AM6" s="103">
        <f ca="1">IFERROR(__xludf.DUMMYFUNCTION("""COMPUTED_VALUE"""),1)</f>
        <v>1</v>
      </c>
      <c r="AN6" s="103">
        <f ca="1">IFERROR(__xludf.DUMMYFUNCTION("""COMPUTED_VALUE"""),1)</f>
        <v>1</v>
      </c>
      <c r="AO6" s="103">
        <f ca="1">IFERROR(__xludf.DUMMYFUNCTION("""COMPUTED_VALUE"""),0)</f>
        <v>0</v>
      </c>
      <c r="AP6" s="103">
        <f ca="1">IFERROR(__xludf.DUMMYFUNCTION("""COMPUTED_VALUE"""),0)</f>
        <v>0</v>
      </c>
      <c r="AQ6" s="103">
        <f ca="1">IFERROR(__xludf.DUMMYFUNCTION("""COMPUTED_VALUE"""),5)</f>
        <v>5</v>
      </c>
      <c r="AR6" s="103">
        <f ca="1">IFERROR(__xludf.DUMMYFUNCTION("""COMPUTED_VALUE"""),5)</f>
        <v>5</v>
      </c>
      <c r="AS6" s="103">
        <f ca="1">IFERROR(__xludf.DUMMYFUNCTION("""COMPUTED_VALUE"""),0)</f>
        <v>0</v>
      </c>
      <c r="AT6" s="103">
        <f ca="1">IFERROR(__xludf.DUMMYFUNCTION("""COMPUTED_VALUE"""),0)</f>
        <v>0</v>
      </c>
      <c r="AU6" s="103">
        <f ca="1">IFERROR(__xludf.DUMMYFUNCTION("""COMPUTED_VALUE"""),0)</f>
        <v>0</v>
      </c>
      <c r="AV6" s="103">
        <f ca="1">IFERROR(__xludf.DUMMYFUNCTION("""COMPUTED_VALUE"""),0)</f>
        <v>0</v>
      </c>
      <c r="AW6" s="103">
        <f ca="1">IFERROR(__xludf.DUMMYFUNCTION("""COMPUTED_VALUE"""),7)</f>
        <v>7</v>
      </c>
      <c r="AX6" s="103">
        <f ca="1">IFERROR(__xludf.DUMMYFUNCTION("""COMPUTED_VALUE"""),7)</f>
        <v>7</v>
      </c>
      <c r="AY6" s="103">
        <f ca="1">IFERROR(__xludf.DUMMYFUNCTION("""COMPUTED_VALUE"""),0)</f>
        <v>0</v>
      </c>
      <c r="AZ6" s="103">
        <f ca="1">IFERROR(__xludf.DUMMYFUNCTION("""COMPUTED_VALUE"""),0)</f>
        <v>0</v>
      </c>
      <c r="BA6" s="103">
        <f ca="1">IFERROR(__xludf.DUMMYFUNCTION("""COMPUTED_VALUE"""),26)</f>
        <v>26</v>
      </c>
      <c r="BB6" s="103">
        <f ca="1">IFERROR(__xludf.DUMMYFUNCTION("""COMPUTED_VALUE"""),25)</f>
        <v>25</v>
      </c>
      <c r="BC6" s="103"/>
      <c r="BD6" s="103"/>
      <c r="BE6" s="103"/>
      <c r="BF6" s="103"/>
      <c r="BG6" s="103"/>
      <c r="BH6" s="10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  <c r="D7" s="107">
        <f ca="1">IFERROR(__xludf.DUMMYFUNCTION("""COMPUTED_VALUE"""),44467.2734930555)</f>
        <v>44467.273493055502</v>
      </c>
      <c r="E7" s="103" t="str">
        <f ca="1">IFERROR(__xludf.DUMMYFUNCTION("""COMPUTED_VALUE"""),"p3@rtp.com")</f>
        <v>p3@rtp.com</v>
      </c>
      <c r="F7" s="103" t="str">
        <f ca="1">IFERROR(__xludf.DUMMYFUNCTION("""COMPUTED_VALUE"""),"rtp2021")</f>
        <v>rtp2021</v>
      </c>
      <c r="G7" s="103"/>
      <c r="H7" s="103" t="str">
        <f ca="1">IFERROR(__xludf.DUMMYFUNCTION("""COMPUTED_VALUE"""),"ภ.3")</f>
        <v>ภ.3</v>
      </c>
      <c r="I7" s="103">
        <f ca="1">IFERROR(__xludf.DUMMYFUNCTION("""COMPUTED_VALUE"""),0)</f>
        <v>0</v>
      </c>
      <c r="J7" s="103">
        <f ca="1">IFERROR(__xludf.DUMMYFUNCTION("""COMPUTED_VALUE"""),0)</f>
        <v>0</v>
      </c>
      <c r="K7" s="103">
        <f ca="1">IFERROR(__xludf.DUMMYFUNCTION("""COMPUTED_VALUE"""),0)</f>
        <v>0</v>
      </c>
      <c r="L7" s="103">
        <f ca="1">IFERROR(__xludf.DUMMYFUNCTION("""COMPUTED_VALUE"""),0)</f>
        <v>0</v>
      </c>
      <c r="M7" s="103">
        <f ca="1">IFERROR(__xludf.DUMMYFUNCTION("""COMPUTED_VALUE"""),19)</f>
        <v>19</v>
      </c>
      <c r="N7" s="103">
        <f ca="1">IFERROR(__xludf.DUMMYFUNCTION("""COMPUTED_VALUE"""),19)</f>
        <v>19</v>
      </c>
      <c r="O7" s="103">
        <f ca="1">IFERROR(__xludf.DUMMYFUNCTION("""COMPUTED_VALUE"""),0)</f>
        <v>0</v>
      </c>
      <c r="P7" s="103">
        <f ca="1">IFERROR(__xludf.DUMMYFUNCTION("""COMPUTED_VALUE"""),0)</f>
        <v>0</v>
      </c>
      <c r="Q7" s="103">
        <f ca="1">IFERROR(__xludf.DUMMYFUNCTION("""COMPUTED_VALUE"""),1)</f>
        <v>1</v>
      </c>
      <c r="R7" s="103">
        <f ca="1">IFERROR(__xludf.DUMMYFUNCTION("""COMPUTED_VALUE"""),1)</f>
        <v>1</v>
      </c>
      <c r="S7" s="103">
        <f ca="1">IFERROR(__xludf.DUMMYFUNCTION("""COMPUTED_VALUE"""),98)</f>
        <v>98</v>
      </c>
      <c r="T7" s="103">
        <f ca="1">IFERROR(__xludf.DUMMYFUNCTION("""COMPUTED_VALUE"""),128)</f>
        <v>128</v>
      </c>
      <c r="U7" s="103">
        <f ca="1">IFERROR(__xludf.DUMMYFUNCTION("""COMPUTED_VALUE"""),5)</f>
        <v>5</v>
      </c>
      <c r="V7" s="103">
        <f ca="1">IFERROR(__xludf.DUMMYFUNCTION("""COMPUTED_VALUE"""),5)</f>
        <v>5</v>
      </c>
      <c r="W7" s="103">
        <f ca="1">IFERROR(__xludf.DUMMYFUNCTION("""COMPUTED_VALUE"""),0)</f>
        <v>0</v>
      </c>
      <c r="X7" s="103">
        <f ca="1">IFERROR(__xludf.DUMMYFUNCTION("""COMPUTED_VALUE"""),0)</f>
        <v>0</v>
      </c>
      <c r="Y7" s="103">
        <f ca="1">IFERROR(__xludf.DUMMYFUNCTION("""COMPUTED_VALUE"""),0)</f>
        <v>0</v>
      </c>
      <c r="Z7" s="103">
        <f ca="1">IFERROR(__xludf.DUMMYFUNCTION("""COMPUTED_VALUE"""),0)</f>
        <v>0</v>
      </c>
      <c r="AA7" s="103">
        <f ca="1">IFERROR(__xludf.DUMMYFUNCTION("""COMPUTED_VALUE"""),6)</f>
        <v>6</v>
      </c>
      <c r="AB7" s="103">
        <f ca="1">IFERROR(__xludf.DUMMYFUNCTION("""COMPUTED_VALUE"""),6)</f>
        <v>6</v>
      </c>
      <c r="AC7" s="103">
        <f ca="1">IFERROR(__xludf.DUMMYFUNCTION("""COMPUTED_VALUE"""),29)</f>
        <v>29</v>
      </c>
      <c r="AD7" s="103">
        <f ca="1">IFERROR(__xludf.DUMMYFUNCTION("""COMPUTED_VALUE"""),30)</f>
        <v>30</v>
      </c>
      <c r="AE7" s="103">
        <f ca="1">IFERROR(__xludf.DUMMYFUNCTION("""COMPUTED_VALUE"""),16)</f>
        <v>16</v>
      </c>
      <c r="AF7" s="103">
        <f ca="1">IFERROR(__xludf.DUMMYFUNCTION("""COMPUTED_VALUE"""),16)</f>
        <v>16</v>
      </c>
      <c r="AG7" s="103">
        <f ca="1">IFERROR(__xludf.DUMMYFUNCTION("""COMPUTED_VALUE"""),85)</f>
        <v>85</v>
      </c>
      <c r="AH7" s="103">
        <f ca="1">IFERROR(__xludf.DUMMYFUNCTION("""COMPUTED_VALUE"""),85)</f>
        <v>85</v>
      </c>
      <c r="AI7" s="103">
        <f ca="1">IFERROR(__xludf.DUMMYFUNCTION("""COMPUTED_VALUE"""),0)</f>
        <v>0</v>
      </c>
      <c r="AJ7" s="103">
        <f ca="1">IFERROR(__xludf.DUMMYFUNCTION("""COMPUTED_VALUE"""),0)</f>
        <v>0</v>
      </c>
      <c r="AK7" s="103">
        <f ca="1">IFERROR(__xludf.DUMMYFUNCTION("""COMPUTED_VALUE"""),0)</f>
        <v>0</v>
      </c>
      <c r="AL7" s="103">
        <f ca="1">IFERROR(__xludf.DUMMYFUNCTION("""COMPUTED_VALUE"""),0)</f>
        <v>0</v>
      </c>
      <c r="AM7" s="103">
        <f ca="1">IFERROR(__xludf.DUMMYFUNCTION("""COMPUTED_VALUE"""),0)</f>
        <v>0</v>
      </c>
      <c r="AN7" s="103">
        <f ca="1">IFERROR(__xludf.DUMMYFUNCTION("""COMPUTED_VALUE"""),0)</f>
        <v>0</v>
      </c>
      <c r="AO7" s="103">
        <f ca="1">IFERROR(__xludf.DUMMYFUNCTION("""COMPUTED_VALUE"""),0)</f>
        <v>0</v>
      </c>
      <c r="AP7" s="103">
        <f ca="1">IFERROR(__xludf.DUMMYFUNCTION("""COMPUTED_VALUE"""),0)</f>
        <v>0</v>
      </c>
      <c r="AQ7" s="103">
        <f ca="1">IFERROR(__xludf.DUMMYFUNCTION("""COMPUTED_VALUE"""),15)</f>
        <v>15</v>
      </c>
      <c r="AR7" s="103">
        <f ca="1">IFERROR(__xludf.DUMMYFUNCTION("""COMPUTED_VALUE"""),15)</f>
        <v>15</v>
      </c>
      <c r="AS7" s="103">
        <f ca="1">IFERROR(__xludf.DUMMYFUNCTION("""COMPUTED_VALUE"""),0)</f>
        <v>0</v>
      </c>
      <c r="AT7" s="103">
        <f ca="1">IFERROR(__xludf.DUMMYFUNCTION("""COMPUTED_VALUE"""),0)</f>
        <v>0</v>
      </c>
      <c r="AU7" s="103">
        <f ca="1">IFERROR(__xludf.DUMMYFUNCTION("""COMPUTED_VALUE"""),0)</f>
        <v>0</v>
      </c>
      <c r="AV7" s="103">
        <f ca="1">IFERROR(__xludf.DUMMYFUNCTION("""COMPUTED_VALUE"""),0)</f>
        <v>0</v>
      </c>
      <c r="AW7" s="103">
        <f ca="1">IFERROR(__xludf.DUMMYFUNCTION("""COMPUTED_VALUE"""),2)</f>
        <v>2</v>
      </c>
      <c r="AX7" s="103">
        <f ca="1">IFERROR(__xludf.DUMMYFUNCTION("""COMPUTED_VALUE"""),2)</f>
        <v>2</v>
      </c>
      <c r="AY7" s="103">
        <f ca="1">IFERROR(__xludf.DUMMYFUNCTION("""COMPUTED_VALUE"""),0)</f>
        <v>0</v>
      </c>
      <c r="AZ7" s="103">
        <f ca="1">IFERROR(__xludf.DUMMYFUNCTION("""COMPUTED_VALUE"""),0)</f>
        <v>0</v>
      </c>
      <c r="BA7" s="103">
        <f ca="1">IFERROR(__xludf.DUMMYFUNCTION("""COMPUTED_VALUE"""),57)</f>
        <v>57</v>
      </c>
      <c r="BB7" s="103">
        <f ca="1">IFERROR(__xludf.DUMMYFUNCTION("""COMPUTED_VALUE"""),57)</f>
        <v>57</v>
      </c>
      <c r="BC7" s="103"/>
      <c r="BD7" s="103"/>
      <c r="BE7" s="103"/>
      <c r="BF7" s="103"/>
      <c r="BG7" s="103"/>
      <c r="BH7" s="103"/>
    </row>
    <row r="8" spans="1:67" ht="12.75">
      <c r="A8" s="114" t="s">
        <v>25</v>
      </c>
      <c r="B8" s="115"/>
      <c r="C8" s="116"/>
      <c r="D8" s="107">
        <f ca="1">IFERROR(__xludf.DUMMYFUNCTION("""COMPUTED_VALUE"""),44468.265868368)</f>
        <v>44468.265868367998</v>
      </c>
      <c r="E8" s="103" t="str">
        <f ca="1">IFERROR(__xludf.DUMMYFUNCTION("""COMPUTED_VALUE"""),"p3@rtp.com")</f>
        <v>p3@rtp.com</v>
      </c>
      <c r="F8" s="103" t="str">
        <f ca="1">IFERROR(__xludf.DUMMYFUNCTION("""COMPUTED_VALUE"""),"rtp2021")</f>
        <v>rtp2021</v>
      </c>
      <c r="G8" s="103"/>
      <c r="H8" s="103" t="str">
        <f ca="1">IFERROR(__xludf.DUMMYFUNCTION("""COMPUTED_VALUE"""),"ภ.3")</f>
        <v>ภ.3</v>
      </c>
      <c r="I8" s="103">
        <f ca="1">IFERROR(__xludf.DUMMYFUNCTION("""COMPUTED_VALUE"""),0)</f>
        <v>0</v>
      </c>
      <c r="J8" s="103">
        <f ca="1">IFERROR(__xludf.DUMMYFUNCTION("""COMPUTED_VALUE"""),0)</f>
        <v>0</v>
      </c>
      <c r="K8" s="103">
        <f ca="1">IFERROR(__xludf.DUMMYFUNCTION("""COMPUTED_VALUE"""),0)</f>
        <v>0</v>
      </c>
      <c r="L8" s="103">
        <f ca="1">IFERROR(__xludf.DUMMYFUNCTION("""COMPUTED_VALUE"""),0)</f>
        <v>0</v>
      </c>
      <c r="M8" s="103">
        <f ca="1">IFERROR(__xludf.DUMMYFUNCTION("""COMPUTED_VALUE"""),28)</f>
        <v>28</v>
      </c>
      <c r="N8" s="103">
        <f ca="1">IFERROR(__xludf.DUMMYFUNCTION("""COMPUTED_VALUE"""),28)</f>
        <v>28</v>
      </c>
      <c r="O8" s="103">
        <f ca="1">IFERROR(__xludf.DUMMYFUNCTION("""COMPUTED_VALUE"""),0)</f>
        <v>0</v>
      </c>
      <c r="P8" s="103">
        <f ca="1">IFERROR(__xludf.DUMMYFUNCTION("""COMPUTED_VALUE"""),0)</f>
        <v>0</v>
      </c>
      <c r="Q8" s="103">
        <f ca="1">IFERROR(__xludf.DUMMYFUNCTION("""COMPUTED_VALUE"""),21)</f>
        <v>21</v>
      </c>
      <c r="R8" s="103">
        <f ca="1">IFERROR(__xludf.DUMMYFUNCTION("""COMPUTED_VALUE"""),21)</f>
        <v>21</v>
      </c>
      <c r="S8" s="103">
        <f ca="1">IFERROR(__xludf.DUMMYFUNCTION("""COMPUTED_VALUE"""),38)</f>
        <v>38</v>
      </c>
      <c r="T8" s="103">
        <f ca="1">IFERROR(__xludf.DUMMYFUNCTION("""COMPUTED_VALUE"""),49)</f>
        <v>49</v>
      </c>
      <c r="U8" s="103">
        <f ca="1">IFERROR(__xludf.DUMMYFUNCTION("""COMPUTED_VALUE"""),6)</f>
        <v>6</v>
      </c>
      <c r="V8" s="103">
        <f ca="1">IFERROR(__xludf.DUMMYFUNCTION("""COMPUTED_VALUE"""),6)</f>
        <v>6</v>
      </c>
      <c r="W8" s="103">
        <f ca="1">IFERROR(__xludf.DUMMYFUNCTION("""COMPUTED_VALUE"""),0)</f>
        <v>0</v>
      </c>
      <c r="X8" s="103">
        <f ca="1">IFERROR(__xludf.DUMMYFUNCTION("""COMPUTED_VALUE"""),0)</f>
        <v>0</v>
      </c>
      <c r="Y8" s="103">
        <f ca="1">IFERROR(__xludf.DUMMYFUNCTION("""COMPUTED_VALUE"""),0)</f>
        <v>0</v>
      </c>
      <c r="Z8" s="103">
        <f ca="1">IFERROR(__xludf.DUMMYFUNCTION("""COMPUTED_VALUE"""),0)</f>
        <v>0</v>
      </c>
      <c r="AA8" s="103">
        <f ca="1">IFERROR(__xludf.DUMMYFUNCTION("""COMPUTED_VALUE"""),6)</f>
        <v>6</v>
      </c>
      <c r="AB8" s="103">
        <f ca="1">IFERROR(__xludf.DUMMYFUNCTION("""COMPUTED_VALUE"""),6)</f>
        <v>6</v>
      </c>
      <c r="AC8" s="103">
        <f ca="1">IFERROR(__xludf.DUMMYFUNCTION("""COMPUTED_VALUE"""),22)</f>
        <v>22</v>
      </c>
      <c r="AD8" s="103">
        <f ca="1">IFERROR(__xludf.DUMMYFUNCTION("""COMPUTED_VALUE"""),22)</f>
        <v>22</v>
      </c>
      <c r="AE8" s="103">
        <f ca="1">IFERROR(__xludf.DUMMYFUNCTION("""COMPUTED_VALUE"""),23)</f>
        <v>23</v>
      </c>
      <c r="AF8" s="103">
        <f ca="1">IFERROR(__xludf.DUMMYFUNCTION("""COMPUTED_VALUE"""),23)</f>
        <v>23</v>
      </c>
      <c r="AG8" s="103">
        <f ca="1">IFERROR(__xludf.DUMMYFUNCTION("""COMPUTED_VALUE"""),81)</f>
        <v>81</v>
      </c>
      <c r="AH8" s="103">
        <f ca="1">IFERROR(__xludf.DUMMYFUNCTION("""COMPUTED_VALUE"""),81)</f>
        <v>81</v>
      </c>
      <c r="AI8" s="103">
        <f ca="1">IFERROR(__xludf.DUMMYFUNCTION("""COMPUTED_VALUE"""),0)</f>
        <v>0</v>
      </c>
      <c r="AJ8" s="103">
        <f ca="1">IFERROR(__xludf.DUMMYFUNCTION("""COMPUTED_VALUE"""),0)</f>
        <v>0</v>
      </c>
      <c r="AK8" s="103">
        <f ca="1">IFERROR(__xludf.DUMMYFUNCTION("""COMPUTED_VALUE"""),0)</f>
        <v>0</v>
      </c>
      <c r="AL8" s="103">
        <f ca="1">IFERROR(__xludf.DUMMYFUNCTION("""COMPUTED_VALUE"""),0)</f>
        <v>0</v>
      </c>
      <c r="AM8" s="103">
        <f ca="1">IFERROR(__xludf.DUMMYFUNCTION("""COMPUTED_VALUE"""),0)</f>
        <v>0</v>
      </c>
      <c r="AN8" s="103">
        <f ca="1">IFERROR(__xludf.DUMMYFUNCTION("""COMPUTED_VALUE"""),0)</f>
        <v>0</v>
      </c>
      <c r="AO8" s="103">
        <f ca="1">IFERROR(__xludf.DUMMYFUNCTION("""COMPUTED_VALUE"""),0)</f>
        <v>0</v>
      </c>
      <c r="AP8" s="103">
        <f ca="1">IFERROR(__xludf.DUMMYFUNCTION("""COMPUTED_VALUE"""),0)</f>
        <v>0</v>
      </c>
      <c r="AQ8" s="103">
        <f ca="1">IFERROR(__xludf.DUMMYFUNCTION("""COMPUTED_VALUE"""),9)</f>
        <v>9</v>
      </c>
      <c r="AR8" s="103">
        <f ca="1">IFERROR(__xludf.DUMMYFUNCTION("""COMPUTED_VALUE"""),9)</f>
        <v>9</v>
      </c>
      <c r="AS8" s="103">
        <f ca="1">IFERROR(__xludf.DUMMYFUNCTION("""COMPUTED_VALUE"""),0)</f>
        <v>0</v>
      </c>
      <c r="AT8" s="103">
        <f ca="1">IFERROR(__xludf.DUMMYFUNCTION("""COMPUTED_VALUE"""),0)</f>
        <v>0</v>
      </c>
      <c r="AU8" s="103">
        <f ca="1">IFERROR(__xludf.DUMMYFUNCTION("""COMPUTED_VALUE"""),0)</f>
        <v>0</v>
      </c>
      <c r="AV8" s="103">
        <f ca="1">IFERROR(__xludf.DUMMYFUNCTION("""COMPUTED_VALUE"""),0)</f>
        <v>0</v>
      </c>
      <c r="AW8" s="103">
        <f ca="1">IFERROR(__xludf.DUMMYFUNCTION("""COMPUTED_VALUE"""),13)</f>
        <v>13</v>
      </c>
      <c r="AX8" s="103">
        <f ca="1">IFERROR(__xludf.DUMMYFUNCTION("""COMPUTED_VALUE"""),13)</f>
        <v>13</v>
      </c>
      <c r="AY8" s="103">
        <f ca="1">IFERROR(__xludf.DUMMYFUNCTION("""COMPUTED_VALUE"""),0)</f>
        <v>0</v>
      </c>
      <c r="AZ8" s="103">
        <f ca="1">IFERROR(__xludf.DUMMYFUNCTION("""COMPUTED_VALUE"""),0)</f>
        <v>0</v>
      </c>
      <c r="BA8" s="103">
        <f ca="1">IFERROR(__xludf.DUMMYFUNCTION("""COMPUTED_VALUE"""),56)</f>
        <v>56</v>
      </c>
      <c r="BB8" s="103">
        <f ca="1">IFERROR(__xludf.DUMMYFUNCTION("""COMPUTED_VALUE"""),53)</f>
        <v>53</v>
      </c>
      <c r="BC8" s="103"/>
      <c r="BD8" s="103"/>
      <c r="BE8" s="103"/>
      <c r="BF8" s="103"/>
      <c r="BG8" s="103"/>
      <c r="BH8" s="103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  <c r="D9" s="107">
        <f ca="1">IFERROR(__xludf.DUMMYFUNCTION("""COMPUTED_VALUE"""),44469.2592358217)</f>
        <v>44469.259235821701</v>
      </c>
      <c r="E9" s="103" t="str">
        <f ca="1">IFERROR(__xludf.DUMMYFUNCTION("""COMPUTED_VALUE"""),"p3@rtp.com")</f>
        <v>p3@rtp.com</v>
      </c>
      <c r="F9" s="103" t="str">
        <f ca="1">IFERROR(__xludf.DUMMYFUNCTION("""COMPUTED_VALUE"""),"rtp2021")</f>
        <v>rtp2021</v>
      </c>
      <c r="G9" s="103"/>
      <c r="H9" s="103" t="str">
        <f ca="1">IFERROR(__xludf.DUMMYFUNCTION("""COMPUTED_VALUE"""),"ภ.3")</f>
        <v>ภ.3</v>
      </c>
      <c r="I9" s="103">
        <f ca="1">IFERROR(__xludf.DUMMYFUNCTION("""COMPUTED_VALUE"""),0)</f>
        <v>0</v>
      </c>
      <c r="J9" s="103">
        <f ca="1">IFERROR(__xludf.DUMMYFUNCTION("""COMPUTED_VALUE"""),0)</f>
        <v>0</v>
      </c>
      <c r="K9" s="103">
        <f ca="1">IFERROR(__xludf.DUMMYFUNCTION("""COMPUTED_VALUE"""),0)</f>
        <v>0</v>
      </c>
      <c r="L9" s="103">
        <f ca="1">IFERROR(__xludf.DUMMYFUNCTION("""COMPUTED_VALUE"""),0)</f>
        <v>0</v>
      </c>
      <c r="M9" s="103">
        <f ca="1">IFERROR(__xludf.DUMMYFUNCTION("""COMPUTED_VALUE"""),2)</f>
        <v>2</v>
      </c>
      <c r="N9" s="103">
        <f ca="1">IFERROR(__xludf.DUMMYFUNCTION("""COMPUTED_VALUE"""),2)</f>
        <v>2</v>
      </c>
      <c r="O9" s="103">
        <f ca="1">IFERROR(__xludf.DUMMYFUNCTION("""COMPUTED_VALUE"""),0)</f>
        <v>0</v>
      </c>
      <c r="P9" s="103">
        <f ca="1">IFERROR(__xludf.DUMMYFUNCTION("""COMPUTED_VALUE"""),0)</f>
        <v>0</v>
      </c>
      <c r="Q9" s="103">
        <f ca="1">IFERROR(__xludf.DUMMYFUNCTION("""COMPUTED_VALUE"""),0)</f>
        <v>0</v>
      </c>
      <c r="R9" s="103">
        <f ca="1">IFERROR(__xludf.DUMMYFUNCTION("""COMPUTED_VALUE"""),0)</f>
        <v>0</v>
      </c>
      <c r="S9" s="103">
        <f ca="1">IFERROR(__xludf.DUMMYFUNCTION("""COMPUTED_VALUE"""),73)</f>
        <v>73</v>
      </c>
      <c r="T9" s="103">
        <f ca="1">IFERROR(__xludf.DUMMYFUNCTION("""COMPUTED_VALUE"""),75)</f>
        <v>75</v>
      </c>
      <c r="U9" s="103">
        <f ca="1">IFERROR(__xludf.DUMMYFUNCTION("""COMPUTED_VALUE"""),5)</f>
        <v>5</v>
      </c>
      <c r="V9" s="103">
        <f ca="1">IFERROR(__xludf.DUMMYFUNCTION("""COMPUTED_VALUE"""),5)</f>
        <v>5</v>
      </c>
      <c r="W9" s="103">
        <f ca="1">IFERROR(__xludf.DUMMYFUNCTION("""COMPUTED_VALUE"""),0)</f>
        <v>0</v>
      </c>
      <c r="X9" s="103">
        <f ca="1">IFERROR(__xludf.DUMMYFUNCTION("""COMPUTED_VALUE"""),0)</f>
        <v>0</v>
      </c>
      <c r="Y9" s="103">
        <f ca="1">IFERROR(__xludf.DUMMYFUNCTION("""COMPUTED_VALUE"""),0)</f>
        <v>0</v>
      </c>
      <c r="Z9" s="103">
        <f ca="1">IFERROR(__xludf.DUMMYFUNCTION("""COMPUTED_VALUE"""),0)</f>
        <v>0</v>
      </c>
      <c r="AA9" s="103">
        <f ca="1">IFERROR(__xludf.DUMMYFUNCTION("""COMPUTED_VALUE"""),4)</f>
        <v>4</v>
      </c>
      <c r="AB9" s="103">
        <f ca="1">IFERROR(__xludf.DUMMYFUNCTION("""COMPUTED_VALUE"""),5)</f>
        <v>5</v>
      </c>
      <c r="AC9" s="103">
        <f ca="1">IFERROR(__xludf.DUMMYFUNCTION("""COMPUTED_VALUE"""),14)</f>
        <v>14</v>
      </c>
      <c r="AD9" s="103">
        <f ca="1">IFERROR(__xludf.DUMMYFUNCTION("""COMPUTED_VALUE"""),12)</f>
        <v>12</v>
      </c>
      <c r="AE9" s="103">
        <f ca="1">IFERROR(__xludf.DUMMYFUNCTION("""COMPUTED_VALUE"""),14)</f>
        <v>14</v>
      </c>
      <c r="AF9" s="103">
        <f ca="1">IFERROR(__xludf.DUMMYFUNCTION("""COMPUTED_VALUE"""),14)</f>
        <v>14</v>
      </c>
      <c r="AG9" s="103">
        <f ca="1">IFERROR(__xludf.DUMMYFUNCTION("""COMPUTED_VALUE"""),84)</f>
        <v>84</v>
      </c>
      <c r="AH9" s="103">
        <f ca="1">IFERROR(__xludf.DUMMYFUNCTION("""COMPUTED_VALUE"""),84)</f>
        <v>84</v>
      </c>
      <c r="AI9" s="103">
        <f ca="1">IFERROR(__xludf.DUMMYFUNCTION("""COMPUTED_VALUE"""),0)</f>
        <v>0</v>
      </c>
      <c r="AJ9" s="103">
        <f ca="1">IFERROR(__xludf.DUMMYFUNCTION("""COMPUTED_VALUE"""),0)</f>
        <v>0</v>
      </c>
      <c r="AK9" s="103">
        <f ca="1">IFERROR(__xludf.DUMMYFUNCTION("""COMPUTED_VALUE"""),0)</f>
        <v>0</v>
      </c>
      <c r="AL9" s="103">
        <f ca="1">IFERROR(__xludf.DUMMYFUNCTION("""COMPUTED_VALUE"""),0)</f>
        <v>0</v>
      </c>
      <c r="AM9" s="103">
        <f ca="1">IFERROR(__xludf.DUMMYFUNCTION("""COMPUTED_VALUE"""),0)</f>
        <v>0</v>
      </c>
      <c r="AN9" s="103">
        <f ca="1">IFERROR(__xludf.DUMMYFUNCTION("""COMPUTED_VALUE"""),0)</f>
        <v>0</v>
      </c>
      <c r="AO9" s="103">
        <f ca="1">IFERROR(__xludf.DUMMYFUNCTION("""COMPUTED_VALUE"""),0)</f>
        <v>0</v>
      </c>
      <c r="AP9" s="103">
        <f ca="1">IFERROR(__xludf.DUMMYFUNCTION("""COMPUTED_VALUE"""),0)</f>
        <v>0</v>
      </c>
      <c r="AQ9" s="103">
        <f ca="1">IFERROR(__xludf.DUMMYFUNCTION("""COMPUTED_VALUE"""),6)</f>
        <v>6</v>
      </c>
      <c r="AR9" s="103">
        <f ca="1">IFERROR(__xludf.DUMMYFUNCTION("""COMPUTED_VALUE"""),7)</f>
        <v>7</v>
      </c>
      <c r="AS9" s="103">
        <f ca="1">IFERROR(__xludf.DUMMYFUNCTION("""COMPUTED_VALUE"""),0)</f>
        <v>0</v>
      </c>
      <c r="AT9" s="103">
        <f ca="1">IFERROR(__xludf.DUMMYFUNCTION("""COMPUTED_VALUE"""),0)</f>
        <v>0</v>
      </c>
      <c r="AU9" s="103">
        <f ca="1">IFERROR(__xludf.DUMMYFUNCTION("""COMPUTED_VALUE"""),0)</f>
        <v>0</v>
      </c>
      <c r="AV9" s="103">
        <f ca="1">IFERROR(__xludf.DUMMYFUNCTION("""COMPUTED_VALUE"""),0)</f>
        <v>0</v>
      </c>
      <c r="AW9" s="103">
        <f ca="1">IFERROR(__xludf.DUMMYFUNCTION("""COMPUTED_VALUE"""),3)</f>
        <v>3</v>
      </c>
      <c r="AX9" s="103">
        <f ca="1">IFERROR(__xludf.DUMMYFUNCTION("""COMPUTED_VALUE"""),3)</f>
        <v>3</v>
      </c>
      <c r="AY9" s="103">
        <f ca="1">IFERROR(__xludf.DUMMYFUNCTION("""COMPUTED_VALUE"""),0)</f>
        <v>0</v>
      </c>
      <c r="AZ9" s="103">
        <f ca="1">IFERROR(__xludf.DUMMYFUNCTION("""COMPUTED_VALUE"""),0)</f>
        <v>0</v>
      </c>
      <c r="BA9" s="103">
        <f ca="1">IFERROR(__xludf.DUMMYFUNCTION("""COMPUTED_VALUE"""),47)</f>
        <v>47</v>
      </c>
      <c r="BB9" s="103">
        <f ca="1">IFERROR(__xludf.DUMMYFUNCTION("""COMPUTED_VALUE"""),45)</f>
        <v>45</v>
      </c>
      <c r="BC9" s="103"/>
      <c r="BD9" s="103"/>
      <c r="BE9" s="103"/>
      <c r="BF9" s="103"/>
      <c r="BG9" s="103"/>
      <c r="BH9" s="103"/>
    </row>
    <row r="10" spans="1:67" ht="12.75">
      <c r="A10" s="114" t="s">
        <v>27</v>
      </c>
      <c r="B10" s="115">
        <f t="shared" ref="B10:C10" ca="1" si="2">SUM(M:M)</f>
        <v>76</v>
      </c>
      <c r="C10" s="116">
        <f t="shared" ca="1" si="2"/>
        <v>76</v>
      </c>
      <c r="D10" s="107">
        <f ca="1">IFERROR(__xludf.DUMMYFUNCTION("""COMPUTED_VALUE"""),44470.2965646875)</f>
        <v>44470.296564687502</v>
      </c>
      <c r="E10" s="103" t="str">
        <f ca="1">IFERROR(__xludf.DUMMYFUNCTION("""COMPUTED_VALUE"""),"p3@rtp.com")</f>
        <v>p3@rtp.com</v>
      </c>
      <c r="F10" s="103" t="str">
        <f ca="1">IFERROR(__xludf.DUMMYFUNCTION("""COMPUTED_VALUE"""),"rtp2021")</f>
        <v>rtp2021</v>
      </c>
      <c r="G10" s="103"/>
      <c r="H10" s="103" t="str">
        <f ca="1">IFERROR(__xludf.DUMMYFUNCTION("""COMPUTED_VALUE"""),"ภ.3")</f>
        <v>ภ.3</v>
      </c>
      <c r="I10" s="103">
        <f ca="1">IFERROR(__xludf.DUMMYFUNCTION("""COMPUTED_VALUE"""),0)</f>
        <v>0</v>
      </c>
      <c r="J10" s="103">
        <f ca="1">IFERROR(__xludf.DUMMYFUNCTION("""COMPUTED_VALUE"""),0)</f>
        <v>0</v>
      </c>
      <c r="K10" s="103">
        <f ca="1">IFERROR(__xludf.DUMMYFUNCTION("""COMPUTED_VALUE"""),0)</f>
        <v>0</v>
      </c>
      <c r="L10" s="103">
        <f ca="1">IFERROR(__xludf.DUMMYFUNCTION("""COMPUTED_VALUE"""),0)</f>
        <v>0</v>
      </c>
      <c r="M10" s="103">
        <f ca="1">IFERROR(__xludf.DUMMYFUNCTION("""COMPUTED_VALUE"""),2)</f>
        <v>2</v>
      </c>
      <c r="N10" s="103">
        <f ca="1">IFERROR(__xludf.DUMMYFUNCTION("""COMPUTED_VALUE"""),2)</f>
        <v>2</v>
      </c>
      <c r="O10" s="103">
        <f ca="1">IFERROR(__xludf.DUMMYFUNCTION("""COMPUTED_VALUE"""),0)</f>
        <v>0</v>
      </c>
      <c r="P10" s="103">
        <f ca="1">IFERROR(__xludf.DUMMYFUNCTION("""COMPUTED_VALUE"""),0)</f>
        <v>0</v>
      </c>
      <c r="Q10" s="103">
        <f ca="1">IFERROR(__xludf.DUMMYFUNCTION("""COMPUTED_VALUE"""),0)</f>
        <v>0</v>
      </c>
      <c r="R10" s="103">
        <f ca="1">IFERROR(__xludf.DUMMYFUNCTION("""COMPUTED_VALUE"""),0)</f>
        <v>0</v>
      </c>
      <c r="S10" s="103">
        <f ca="1">IFERROR(__xludf.DUMMYFUNCTION("""COMPUTED_VALUE"""),58)</f>
        <v>58</v>
      </c>
      <c r="T10" s="103">
        <f ca="1">IFERROR(__xludf.DUMMYFUNCTION("""COMPUTED_VALUE"""),67)</f>
        <v>67</v>
      </c>
      <c r="U10" s="103">
        <f ca="1">IFERROR(__xludf.DUMMYFUNCTION("""COMPUTED_VALUE"""),3)</f>
        <v>3</v>
      </c>
      <c r="V10" s="103">
        <f ca="1">IFERROR(__xludf.DUMMYFUNCTION("""COMPUTED_VALUE"""),3)</f>
        <v>3</v>
      </c>
      <c r="W10" s="103">
        <f ca="1">IFERROR(__xludf.DUMMYFUNCTION("""COMPUTED_VALUE"""),0)</f>
        <v>0</v>
      </c>
      <c r="X10" s="103">
        <f ca="1">IFERROR(__xludf.DUMMYFUNCTION("""COMPUTED_VALUE"""),0)</f>
        <v>0</v>
      </c>
      <c r="Y10" s="103">
        <f ca="1">IFERROR(__xludf.DUMMYFUNCTION("""COMPUTED_VALUE"""),0)</f>
        <v>0</v>
      </c>
      <c r="Z10" s="103">
        <f ca="1">IFERROR(__xludf.DUMMYFUNCTION("""COMPUTED_VALUE"""),0)</f>
        <v>0</v>
      </c>
      <c r="AA10" s="103">
        <f ca="1">IFERROR(__xludf.DUMMYFUNCTION("""COMPUTED_VALUE"""),4)</f>
        <v>4</v>
      </c>
      <c r="AB10" s="103">
        <f ca="1">IFERROR(__xludf.DUMMYFUNCTION("""COMPUTED_VALUE"""),4)</f>
        <v>4</v>
      </c>
      <c r="AC10" s="103">
        <f ca="1">IFERROR(__xludf.DUMMYFUNCTION("""COMPUTED_VALUE"""),13)</f>
        <v>13</v>
      </c>
      <c r="AD10" s="103">
        <f ca="1">IFERROR(__xludf.DUMMYFUNCTION("""COMPUTED_VALUE"""),18)</f>
        <v>18</v>
      </c>
      <c r="AE10" s="103">
        <f ca="1">IFERROR(__xludf.DUMMYFUNCTION("""COMPUTED_VALUE"""),8)</f>
        <v>8</v>
      </c>
      <c r="AF10" s="103">
        <f ca="1">IFERROR(__xludf.DUMMYFUNCTION("""COMPUTED_VALUE"""),8)</f>
        <v>8</v>
      </c>
      <c r="AG10" s="103">
        <f ca="1">IFERROR(__xludf.DUMMYFUNCTION("""COMPUTED_VALUE"""),54)</f>
        <v>54</v>
      </c>
      <c r="AH10" s="103">
        <f ca="1">IFERROR(__xludf.DUMMYFUNCTION("""COMPUTED_VALUE"""),54)</f>
        <v>54</v>
      </c>
      <c r="AI10" s="103">
        <f ca="1">IFERROR(__xludf.DUMMYFUNCTION("""COMPUTED_VALUE"""),0)</f>
        <v>0</v>
      </c>
      <c r="AJ10" s="103">
        <f ca="1">IFERROR(__xludf.DUMMYFUNCTION("""COMPUTED_VALUE"""),0)</f>
        <v>0</v>
      </c>
      <c r="AK10" s="103">
        <f ca="1">IFERROR(__xludf.DUMMYFUNCTION("""COMPUTED_VALUE"""),0)</f>
        <v>0</v>
      </c>
      <c r="AL10" s="103">
        <f ca="1">IFERROR(__xludf.DUMMYFUNCTION("""COMPUTED_VALUE"""),0)</f>
        <v>0</v>
      </c>
      <c r="AM10" s="103">
        <f ca="1">IFERROR(__xludf.DUMMYFUNCTION("""COMPUTED_VALUE"""),0)</f>
        <v>0</v>
      </c>
      <c r="AN10" s="103">
        <f ca="1">IFERROR(__xludf.DUMMYFUNCTION("""COMPUTED_VALUE"""),0)</f>
        <v>0</v>
      </c>
      <c r="AO10" s="103">
        <f ca="1">IFERROR(__xludf.DUMMYFUNCTION("""COMPUTED_VALUE"""),0)</f>
        <v>0</v>
      </c>
      <c r="AP10" s="103">
        <f ca="1">IFERROR(__xludf.DUMMYFUNCTION("""COMPUTED_VALUE"""),0)</f>
        <v>0</v>
      </c>
      <c r="AQ10" s="103">
        <f ca="1">IFERROR(__xludf.DUMMYFUNCTION("""COMPUTED_VALUE"""),8)</f>
        <v>8</v>
      </c>
      <c r="AR10" s="103">
        <f ca="1">IFERROR(__xludf.DUMMYFUNCTION("""COMPUTED_VALUE"""),8)</f>
        <v>8</v>
      </c>
      <c r="AS10" s="103">
        <f ca="1">IFERROR(__xludf.DUMMYFUNCTION("""COMPUTED_VALUE"""),0)</f>
        <v>0</v>
      </c>
      <c r="AT10" s="103">
        <f ca="1">IFERROR(__xludf.DUMMYFUNCTION("""COMPUTED_VALUE"""),0)</f>
        <v>0</v>
      </c>
      <c r="AU10" s="103">
        <f ca="1">IFERROR(__xludf.DUMMYFUNCTION("""COMPUTED_VALUE"""),0)</f>
        <v>0</v>
      </c>
      <c r="AV10" s="103">
        <f ca="1">IFERROR(__xludf.DUMMYFUNCTION("""COMPUTED_VALUE"""),0)</f>
        <v>0</v>
      </c>
      <c r="AW10" s="103">
        <f ca="1">IFERROR(__xludf.DUMMYFUNCTION("""COMPUTED_VALUE"""),3)</f>
        <v>3</v>
      </c>
      <c r="AX10" s="103">
        <f ca="1">IFERROR(__xludf.DUMMYFUNCTION("""COMPUTED_VALUE"""),3)</f>
        <v>3</v>
      </c>
      <c r="AY10" s="103">
        <f ca="1">IFERROR(__xludf.DUMMYFUNCTION("""COMPUTED_VALUE"""),0)</f>
        <v>0</v>
      </c>
      <c r="AZ10" s="103">
        <f ca="1">IFERROR(__xludf.DUMMYFUNCTION("""COMPUTED_VALUE"""),0)</f>
        <v>0</v>
      </c>
      <c r="BA10" s="103">
        <f ca="1">IFERROR(__xludf.DUMMYFUNCTION("""COMPUTED_VALUE"""),54)</f>
        <v>54</v>
      </c>
      <c r="BB10" s="103">
        <f ca="1">IFERROR(__xludf.DUMMYFUNCTION("""COMPUTED_VALUE"""),53)</f>
        <v>53</v>
      </c>
      <c r="BC10" s="103"/>
      <c r="BD10" s="103"/>
      <c r="BE10" s="103"/>
      <c r="BF10" s="103"/>
      <c r="BG10" s="103"/>
      <c r="BH10" s="103"/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0</v>
      </c>
      <c r="C12" s="116">
        <f t="shared" ca="1" si="3"/>
        <v>0</v>
      </c>
    </row>
    <row r="13" spans="1:67" ht="12.75">
      <c r="A13" s="114" t="s">
        <v>30</v>
      </c>
      <c r="B13" s="115">
        <f t="shared" ref="B13:C13" ca="1" si="4">SUM(Q:Q)</f>
        <v>53</v>
      </c>
      <c r="C13" s="116">
        <f t="shared" ca="1" si="4"/>
        <v>53</v>
      </c>
    </row>
    <row r="14" spans="1:67" ht="12.75">
      <c r="A14" s="114" t="s">
        <v>31</v>
      </c>
      <c r="B14" s="115">
        <f t="shared" ref="B14:C14" ca="1" si="5">SUM(S:S)</f>
        <v>420</v>
      </c>
      <c r="C14" s="116">
        <f t="shared" ca="1" si="5"/>
        <v>529</v>
      </c>
    </row>
    <row r="15" spans="1:67" ht="12.75">
      <c r="A15" s="117" t="s">
        <v>32</v>
      </c>
      <c r="B15" s="118">
        <f t="shared" ref="B15:C15" ca="1" si="6">SUM(B6:B14)</f>
        <v>549</v>
      </c>
      <c r="C15" s="119">
        <f t="shared" ca="1" si="6"/>
        <v>658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25</v>
      </c>
      <c r="C17" s="116">
        <f t="shared" ca="1" si="7"/>
        <v>25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31</v>
      </c>
      <c r="C20" s="116">
        <f t="shared" ca="1" si="10"/>
        <v>33</v>
      </c>
    </row>
    <row r="21" spans="1:3" ht="12.75">
      <c r="A21" s="114" t="s">
        <v>38</v>
      </c>
      <c r="B21" s="115">
        <f t="shared" ref="B21:C21" ca="1" si="11">SUM(AC:AC)</f>
        <v>132</v>
      </c>
      <c r="C21" s="116">
        <f t="shared" ca="1" si="11"/>
        <v>141</v>
      </c>
    </row>
    <row r="22" spans="1:3" ht="12.75">
      <c r="A22" s="114" t="s">
        <v>39</v>
      </c>
      <c r="B22" s="115">
        <f t="shared" ref="B22:C22" ca="1" si="12">SUM(AE:AE)</f>
        <v>121</v>
      </c>
      <c r="C22" s="116">
        <f t="shared" ca="1" si="12"/>
        <v>122</v>
      </c>
    </row>
    <row r="23" spans="1:3" ht="12.75">
      <c r="A23" s="114" t="s">
        <v>40</v>
      </c>
      <c r="B23" s="115">
        <f t="shared" ref="B23:C23" ca="1" si="13">SUM(AG:AG)</f>
        <v>560</v>
      </c>
      <c r="C23" s="116">
        <f t="shared" ca="1" si="13"/>
        <v>560</v>
      </c>
    </row>
    <row r="24" spans="1:3" ht="12.75">
      <c r="A24" s="117" t="s">
        <v>32</v>
      </c>
      <c r="B24" s="118">
        <f t="shared" ref="B24:C24" ca="1" si="14">SUM(B17:B23)</f>
        <v>869</v>
      </c>
      <c r="C24" s="119">
        <f t="shared" ca="1" si="14"/>
        <v>881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0</v>
      </c>
      <c r="C27" s="116">
        <f t="shared" ca="1" si="16"/>
        <v>0</v>
      </c>
    </row>
    <row r="28" spans="1:3" ht="12.75">
      <c r="A28" s="114" t="s">
        <v>44</v>
      </c>
      <c r="B28" s="115">
        <f t="shared" ref="B28:C28" ca="1" si="17">SUM(AM:AM)</f>
        <v>8</v>
      </c>
      <c r="C28" s="116">
        <f t="shared" ca="1" si="17"/>
        <v>8</v>
      </c>
    </row>
    <row r="29" spans="1:3" ht="12.75">
      <c r="A29" s="117" t="s">
        <v>32</v>
      </c>
      <c r="B29" s="118">
        <f t="shared" ref="B29:C29" ca="1" si="18">SUM(B26:B28)</f>
        <v>8</v>
      </c>
      <c r="C29" s="119">
        <f t="shared" ca="1" si="18"/>
        <v>8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64</v>
      </c>
      <c r="C32" s="116">
        <f t="shared" ca="1" si="20"/>
        <v>65</v>
      </c>
    </row>
    <row r="33" spans="1:67" ht="12.75">
      <c r="A33" s="114" t="s">
        <v>48</v>
      </c>
      <c r="B33" s="115">
        <f t="shared" ref="B33:C33" ca="1" si="21">SUM(AS:AS)</f>
        <v>1</v>
      </c>
      <c r="C33" s="116">
        <f t="shared" ca="1" si="21"/>
        <v>1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67</v>
      </c>
      <c r="C35" s="116">
        <f t="shared" ca="1" si="23"/>
        <v>67</v>
      </c>
    </row>
    <row r="36" spans="1:67" ht="12.75">
      <c r="A36" s="117" t="s">
        <v>32</v>
      </c>
      <c r="B36" s="118">
        <f t="shared" ref="B36:C36" ca="1" si="24">SUM(B31:B35)</f>
        <v>132</v>
      </c>
      <c r="C36" s="119">
        <f t="shared" ca="1" si="24"/>
        <v>133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331</v>
      </c>
      <c r="C38" s="124">
        <f t="shared" ca="1" si="26"/>
        <v>319</v>
      </c>
    </row>
    <row r="39" spans="1:67" ht="15">
      <c r="A39" s="126" t="s">
        <v>20</v>
      </c>
      <c r="B39" s="127">
        <f t="shared" ref="B39:C39" ca="1" si="27">SUM(B15,B24,B29,B36,B37,B38)</f>
        <v>1889</v>
      </c>
      <c r="C39" s="128">
        <f t="shared" ca="1" si="27"/>
        <v>1999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/>
      <c r="C2" s="102" t="s">
        <v>72</v>
      </c>
      <c r="D2" s="103" t="str">
        <f ca="1">IFERROR(__xludf.DUMMYFUNCTION("QUERY('Form Responses 1'!A:BE,""select * where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0</v>
      </c>
      <c r="B3" s="105" t="s">
        <v>73</v>
      </c>
      <c r="C3" s="106" t="s">
        <v>73</v>
      </c>
      <c r="D3" s="107">
        <f ca="1">IFERROR(__xludf.DUMMYFUNCTION("""COMPUTED_VALUE"""),44463.3126160648)</f>
        <v>44463.312616064803</v>
      </c>
      <c r="E3" s="103" t="str">
        <f ca="1">IFERROR(__xludf.DUMMYFUNCTION("""COMPUTED_VALUE"""),"p4@rtp.com")</f>
        <v>p4@rtp.com</v>
      </c>
      <c r="F3" s="108" t="str">
        <f ca="1">IFERROR(__xludf.DUMMYFUNCTION("""COMPUTED_VALUE"""),"rtp2021")</f>
        <v>rtp2021</v>
      </c>
      <c r="G3" s="103"/>
      <c r="H3" s="108" t="str">
        <f ca="1">IFERROR(__xludf.DUMMYFUNCTION("""COMPUTED_VALUE"""),"ภ.4")</f>
        <v>ภ.4</v>
      </c>
      <c r="I3" s="108">
        <f ca="1">IFERROR(__xludf.DUMMYFUNCTION("""COMPUTED_VALUE"""),0)</f>
        <v>0</v>
      </c>
      <c r="J3" s="108">
        <f ca="1">IFERROR(__xludf.DUMMYFUNCTION("""COMPUTED_VALUE"""),0)</f>
        <v>0</v>
      </c>
      <c r="K3" s="108"/>
      <c r="L3" s="108"/>
      <c r="M3" s="108">
        <f ca="1">IFERROR(__xludf.DUMMYFUNCTION("""COMPUTED_VALUE"""),3)</f>
        <v>3</v>
      </c>
      <c r="N3" s="108">
        <f ca="1">IFERROR(__xludf.DUMMYFUNCTION("""COMPUTED_VALUE"""),3)</f>
        <v>3</v>
      </c>
      <c r="O3" s="108"/>
      <c r="P3" s="108"/>
      <c r="Q3" s="108">
        <f ca="1">IFERROR(__xludf.DUMMYFUNCTION("""COMPUTED_VALUE"""),1)</f>
        <v>1</v>
      </c>
      <c r="R3" s="108">
        <f ca="1">IFERROR(__xludf.DUMMYFUNCTION("""COMPUTED_VALUE"""),1)</f>
        <v>1</v>
      </c>
      <c r="S3" s="108">
        <f ca="1">IFERROR(__xludf.DUMMYFUNCTION("""COMPUTED_VALUE"""),16)</f>
        <v>16</v>
      </c>
      <c r="T3" s="108">
        <f ca="1">IFERROR(__xludf.DUMMYFUNCTION("""COMPUTED_VALUE"""),34)</f>
        <v>34</v>
      </c>
      <c r="U3" s="108">
        <f ca="1">IFERROR(__xludf.DUMMYFUNCTION("""COMPUTED_VALUE"""),0)</f>
        <v>0</v>
      </c>
      <c r="V3" s="108">
        <f ca="1">IFERROR(__xludf.DUMMYFUNCTION("""COMPUTED_VALUE"""),0)</f>
        <v>0</v>
      </c>
      <c r="W3" s="108">
        <f ca="1">IFERROR(__xludf.DUMMYFUNCTION("""COMPUTED_VALUE"""),0)</f>
        <v>0</v>
      </c>
      <c r="X3" s="108">
        <f ca="1">IFERROR(__xludf.DUMMYFUNCTION("""COMPUTED_VALUE"""),0)</f>
        <v>0</v>
      </c>
      <c r="Y3" s="108">
        <f ca="1">IFERROR(__xludf.DUMMYFUNCTION("""COMPUTED_VALUE"""),0)</f>
        <v>0</v>
      </c>
      <c r="Z3" s="108">
        <f ca="1">IFERROR(__xludf.DUMMYFUNCTION("""COMPUTED_VALUE"""),0)</f>
        <v>0</v>
      </c>
      <c r="AA3" s="108">
        <f ca="1">IFERROR(__xludf.DUMMYFUNCTION("""COMPUTED_VALUE"""),2)</f>
        <v>2</v>
      </c>
      <c r="AB3" s="108">
        <f ca="1">IFERROR(__xludf.DUMMYFUNCTION("""COMPUTED_VALUE"""),3)</f>
        <v>3</v>
      </c>
      <c r="AC3" s="108">
        <f ca="1">IFERROR(__xludf.DUMMYFUNCTION("""COMPUTED_VALUE"""),40)</f>
        <v>40</v>
      </c>
      <c r="AD3" s="108">
        <f ca="1">IFERROR(__xludf.DUMMYFUNCTION("""COMPUTED_VALUE"""),42)</f>
        <v>42</v>
      </c>
      <c r="AE3" s="108">
        <f ca="1">IFERROR(__xludf.DUMMYFUNCTION("""COMPUTED_VALUE"""),61)</f>
        <v>61</v>
      </c>
      <c r="AF3" s="108">
        <f ca="1">IFERROR(__xludf.DUMMYFUNCTION("""COMPUTED_VALUE"""),59)</f>
        <v>59</v>
      </c>
      <c r="AG3" s="108">
        <f ca="1">IFERROR(__xludf.DUMMYFUNCTION("""COMPUTED_VALUE"""),158)</f>
        <v>158</v>
      </c>
      <c r="AH3" s="108">
        <f ca="1">IFERROR(__xludf.DUMMYFUNCTION("""COMPUTED_VALUE"""),157)</f>
        <v>157</v>
      </c>
      <c r="AI3" s="108">
        <f ca="1">IFERROR(__xludf.DUMMYFUNCTION("""COMPUTED_VALUE"""),0)</f>
        <v>0</v>
      </c>
      <c r="AJ3" s="108">
        <f ca="1">IFERROR(__xludf.DUMMYFUNCTION("""COMPUTED_VALUE"""),0)</f>
        <v>0</v>
      </c>
      <c r="AK3" s="108">
        <f ca="1">IFERROR(__xludf.DUMMYFUNCTION("""COMPUTED_VALUE"""),1)</f>
        <v>1</v>
      </c>
      <c r="AL3" s="108">
        <f ca="1">IFERROR(__xludf.DUMMYFUNCTION("""COMPUTED_VALUE"""),1)</f>
        <v>1</v>
      </c>
      <c r="AM3" s="108">
        <f ca="1">IFERROR(__xludf.DUMMYFUNCTION("""COMPUTED_VALUE"""),1)</f>
        <v>1</v>
      </c>
      <c r="AN3" s="108">
        <f ca="1">IFERROR(__xludf.DUMMYFUNCTION("""COMPUTED_VALUE"""),1)</f>
        <v>1</v>
      </c>
      <c r="AO3" s="108">
        <f ca="1">IFERROR(__xludf.DUMMYFUNCTION("""COMPUTED_VALUE"""),0)</f>
        <v>0</v>
      </c>
      <c r="AP3" s="108">
        <f ca="1">IFERROR(__xludf.DUMMYFUNCTION("""COMPUTED_VALUE"""),0)</f>
        <v>0</v>
      </c>
      <c r="AQ3" s="108">
        <f ca="1">IFERROR(__xludf.DUMMYFUNCTION("""COMPUTED_VALUE"""),12)</f>
        <v>12</v>
      </c>
      <c r="AR3" s="108">
        <f ca="1">IFERROR(__xludf.DUMMYFUNCTION("""COMPUTED_VALUE"""),12)</f>
        <v>12</v>
      </c>
      <c r="AS3" s="108">
        <f ca="1">IFERROR(__xludf.DUMMYFUNCTION("""COMPUTED_VALUE"""),0)</f>
        <v>0</v>
      </c>
      <c r="AT3" s="108">
        <f ca="1">IFERROR(__xludf.DUMMYFUNCTION("""COMPUTED_VALUE"""),0)</f>
        <v>0</v>
      </c>
      <c r="AU3" s="108">
        <f ca="1">IFERROR(__xludf.DUMMYFUNCTION("""COMPUTED_VALUE"""),0)</f>
        <v>0</v>
      </c>
      <c r="AV3" s="108">
        <f ca="1">IFERROR(__xludf.DUMMYFUNCTION("""COMPUTED_VALUE"""),0)</f>
        <v>0</v>
      </c>
      <c r="AW3" s="108">
        <f ca="1">IFERROR(__xludf.DUMMYFUNCTION("""COMPUTED_VALUE"""),3)</f>
        <v>3</v>
      </c>
      <c r="AX3" s="108">
        <f ca="1">IFERROR(__xludf.DUMMYFUNCTION("""COMPUTED_VALUE"""),3)</f>
        <v>3</v>
      </c>
      <c r="AY3" s="108">
        <f ca="1">IFERROR(__xludf.DUMMYFUNCTION("""COMPUTED_VALUE"""),0)</f>
        <v>0</v>
      </c>
      <c r="AZ3" s="108">
        <f ca="1">IFERROR(__xludf.DUMMYFUNCTION("""COMPUTED_VALUE"""),0)</f>
        <v>0</v>
      </c>
      <c r="BA3" s="108">
        <f ca="1">IFERROR(__xludf.DUMMYFUNCTION("""COMPUTED_VALUE"""),26)</f>
        <v>26</v>
      </c>
      <c r="BB3" s="108">
        <f ca="1">IFERROR(__xludf.DUMMYFUNCTION("""COMPUTED_VALUE"""),26)</f>
        <v>26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  <c r="D4" s="107">
        <f ca="1">IFERROR(__xludf.DUMMYFUNCTION("""COMPUTED_VALUE"""),44464.3322355555)</f>
        <v>44464.332235555499</v>
      </c>
      <c r="E4" s="103" t="str">
        <f ca="1">IFERROR(__xludf.DUMMYFUNCTION("""COMPUTED_VALUE"""),"p4@rtp.com")</f>
        <v>p4@rtp.com</v>
      </c>
      <c r="F4" s="103" t="str">
        <f ca="1">IFERROR(__xludf.DUMMYFUNCTION("""COMPUTED_VALUE"""),"rtp2021")</f>
        <v>rtp2021</v>
      </c>
      <c r="G4" s="103"/>
      <c r="H4" s="103" t="str">
        <f ca="1">IFERROR(__xludf.DUMMYFUNCTION("""COMPUTED_VALUE"""),"ภ.4")</f>
        <v>ภ.4</v>
      </c>
      <c r="I4" s="103">
        <f ca="1">IFERROR(__xludf.DUMMYFUNCTION("""COMPUTED_VALUE"""),0)</f>
        <v>0</v>
      </c>
      <c r="J4" s="103">
        <f ca="1">IFERROR(__xludf.DUMMYFUNCTION("""COMPUTED_VALUE"""),0)</f>
        <v>0</v>
      </c>
      <c r="K4" s="103">
        <f ca="1">IFERROR(__xludf.DUMMYFUNCTION("""COMPUTED_VALUE"""),4)</f>
        <v>4</v>
      </c>
      <c r="L4" s="103">
        <f ca="1">IFERROR(__xludf.DUMMYFUNCTION("""COMPUTED_VALUE"""),4)</f>
        <v>4</v>
      </c>
      <c r="M4" s="103">
        <f ca="1">IFERROR(__xludf.DUMMYFUNCTION("""COMPUTED_VALUE"""),25)</f>
        <v>25</v>
      </c>
      <c r="N4" s="103">
        <f ca="1">IFERROR(__xludf.DUMMYFUNCTION("""COMPUTED_VALUE"""),25)</f>
        <v>25</v>
      </c>
      <c r="O4" s="103">
        <f ca="1">IFERROR(__xludf.DUMMYFUNCTION("""COMPUTED_VALUE"""),0)</f>
        <v>0</v>
      </c>
      <c r="P4" s="103">
        <f ca="1">IFERROR(__xludf.DUMMYFUNCTION("""COMPUTED_VALUE"""),0)</f>
        <v>0</v>
      </c>
      <c r="Q4" s="103">
        <f ca="1">IFERROR(__xludf.DUMMYFUNCTION("""COMPUTED_VALUE"""),9)</f>
        <v>9</v>
      </c>
      <c r="R4" s="103">
        <f ca="1">IFERROR(__xludf.DUMMYFUNCTION("""COMPUTED_VALUE"""),9)</f>
        <v>9</v>
      </c>
      <c r="S4" s="103">
        <f ca="1">IFERROR(__xludf.DUMMYFUNCTION("""COMPUTED_VALUE"""),37)</f>
        <v>37</v>
      </c>
      <c r="T4" s="103">
        <f ca="1">IFERROR(__xludf.DUMMYFUNCTION("""COMPUTED_VALUE"""),71)</f>
        <v>71</v>
      </c>
      <c r="U4" s="103">
        <f ca="1">IFERROR(__xludf.DUMMYFUNCTION("""COMPUTED_VALUE"""),4)</f>
        <v>4</v>
      </c>
      <c r="V4" s="103">
        <f ca="1">IFERROR(__xludf.DUMMYFUNCTION("""COMPUTED_VALUE"""),4)</f>
        <v>4</v>
      </c>
      <c r="W4" s="103">
        <f ca="1">IFERROR(__xludf.DUMMYFUNCTION("""COMPUTED_VALUE"""),0)</f>
        <v>0</v>
      </c>
      <c r="X4" s="103">
        <f ca="1">IFERROR(__xludf.DUMMYFUNCTION("""COMPUTED_VALUE"""),0)</f>
        <v>0</v>
      </c>
      <c r="Y4" s="103">
        <f ca="1">IFERROR(__xludf.DUMMYFUNCTION("""COMPUTED_VALUE"""),0)</f>
        <v>0</v>
      </c>
      <c r="Z4" s="103">
        <f ca="1">IFERROR(__xludf.DUMMYFUNCTION("""COMPUTED_VALUE"""),0)</f>
        <v>0</v>
      </c>
      <c r="AA4" s="103">
        <f ca="1">IFERROR(__xludf.DUMMYFUNCTION("""COMPUTED_VALUE"""),0)</f>
        <v>0</v>
      </c>
      <c r="AB4" s="103">
        <f ca="1">IFERROR(__xludf.DUMMYFUNCTION("""COMPUTED_VALUE"""),0)</f>
        <v>0</v>
      </c>
      <c r="AC4" s="103">
        <f ca="1">IFERROR(__xludf.DUMMYFUNCTION("""COMPUTED_VALUE"""),75)</f>
        <v>75</v>
      </c>
      <c r="AD4" s="103">
        <f ca="1">IFERROR(__xludf.DUMMYFUNCTION("""COMPUTED_VALUE"""),75)</f>
        <v>75</v>
      </c>
      <c r="AE4" s="103">
        <f ca="1">IFERROR(__xludf.DUMMYFUNCTION("""COMPUTED_VALUE"""),109)</f>
        <v>109</v>
      </c>
      <c r="AF4" s="103">
        <f ca="1">IFERROR(__xludf.DUMMYFUNCTION("""COMPUTED_VALUE"""),109)</f>
        <v>109</v>
      </c>
      <c r="AG4" s="103">
        <f ca="1">IFERROR(__xludf.DUMMYFUNCTION("""COMPUTED_VALUE"""),257)</f>
        <v>257</v>
      </c>
      <c r="AH4" s="103">
        <f ca="1">IFERROR(__xludf.DUMMYFUNCTION("""COMPUTED_VALUE"""),259)</f>
        <v>259</v>
      </c>
      <c r="AI4" s="103">
        <f ca="1">IFERROR(__xludf.DUMMYFUNCTION("""COMPUTED_VALUE"""),0)</f>
        <v>0</v>
      </c>
      <c r="AJ4" s="103">
        <f ca="1">IFERROR(__xludf.DUMMYFUNCTION("""COMPUTED_VALUE"""),0)</f>
        <v>0</v>
      </c>
      <c r="AK4" s="103">
        <f ca="1">IFERROR(__xludf.DUMMYFUNCTION("""COMPUTED_VALUE"""),3)</f>
        <v>3</v>
      </c>
      <c r="AL4" s="103">
        <f ca="1">IFERROR(__xludf.DUMMYFUNCTION("""COMPUTED_VALUE"""),3)</f>
        <v>3</v>
      </c>
      <c r="AM4" s="103">
        <f ca="1">IFERROR(__xludf.DUMMYFUNCTION("""COMPUTED_VALUE"""),14)</f>
        <v>14</v>
      </c>
      <c r="AN4" s="103">
        <f ca="1">IFERROR(__xludf.DUMMYFUNCTION("""COMPUTED_VALUE"""),14)</f>
        <v>14</v>
      </c>
      <c r="AO4" s="103">
        <f ca="1">IFERROR(__xludf.DUMMYFUNCTION("""COMPUTED_VALUE"""),1)</f>
        <v>1</v>
      </c>
      <c r="AP4" s="103">
        <f ca="1">IFERROR(__xludf.DUMMYFUNCTION("""COMPUTED_VALUE"""),1)</f>
        <v>1</v>
      </c>
      <c r="AQ4" s="103">
        <f ca="1">IFERROR(__xludf.DUMMYFUNCTION("""COMPUTED_VALUE"""),31)</f>
        <v>31</v>
      </c>
      <c r="AR4" s="103">
        <f ca="1">IFERROR(__xludf.DUMMYFUNCTION("""COMPUTED_VALUE"""),31)</f>
        <v>31</v>
      </c>
      <c r="AS4" s="103">
        <f ca="1">IFERROR(__xludf.DUMMYFUNCTION("""COMPUTED_VALUE"""),0)</f>
        <v>0</v>
      </c>
      <c r="AT4" s="103">
        <f ca="1">IFERROR(__xludf.DUMMYFUNCTION("""COMPUTED_VALUE"""),0)</f>
        <v>0</v>
      </c>
      <c r="AU4" s="103">
        <f ca="1">IFERROR(__xludf.DUMMYFUNCTION("""COMPUTED_VALUE"""),1)</f>
        <v>1</v>
      </c>
      <c r="AV4" s="103">
        <f ca="1">IFERROR(__xludf.DUMMYFUNCTION("""COMPUTED_VALUE"""),1)</f>
        <v>1</v>
      </c>
      <c r="AW4" s="103">
        <f ca="1">IFERROR(__xludf.DUMMYFUNCTION("""COMPUTED_VALUE"""),6)</f>
        <v>6</v>
      </c>
      <c r="AX4" s="103">
        <f ca="1">IFERROR(__xludf.DUMMYFUNCTION("""COMPUTED_VALUE"""),6)</f>
        <v>6</v>
      </c>
      <c r="AY4" s="103">
        <f ca="1">IFERROR(__xludf.DUMMYFUNCTION("""COMPUTED_VALUE"""),5)</f>
        <v>5</v>
      </c>
      <c r="AZ4" s="103">
        <f ca="1">IFERROR(__xludf.DUMMYFUNCTION("""COMPUTED_VALUE"""),1)</f>
        <v>1</v>
      </c>
      <c r="BA4" s="103">
        <f ca="1">IFERROR(__xludf.DUMMYFUNCTION("""COMPUTED_VALUE"""),56)</f>
        <v>56</v>
      </c>
      <c r="BB4" s="103">
        <f ca="1">IFERROR(__xludf.DUMMYFUNCTION("""COMPUTED_VALUE"""),55)</f>
        <v>55</v>
      </c>
      <c r="BC4" s="103"/>
      <c r="BD4" s="103"/>
      <c r="BE4" s="103"/>
      <c r="BF4" s="103"/>
      <c r="BG4" s="103"/>
      <c r="BH4" s="103"/>
    </row>
    <row r="5" spans="1:67" ht="12.75">
      <c r="A5" s="638"/>
      <c r="B5" s="109" t="s">
        <v>21</v>
      </c>
      <c r="C5" s="110" t="s">
        <v>22</v>
      </c>
      <c r="D5" s="107">
        <f ca="1">IFERROR(__xludf.DUMMYFUNCTION("""COMPUTED_VALUE"""),44465.3121937847)</f>
        <v>44465.312193784703</v>
      </c>
      <c r="E5" s="103" t="str">
        <f ca="1">IFERROR(__xludf.DUMMYFUNCTION("""COMPUTED_VALUE"""),"p4@rtp.com")</f>
        <v>p4@rtp.com</v>
      </c>
      <c r="F5" s="103" t="str">
        <f ca="1">IFERROR(__xludf.DUMMYFUNCTION("""COMPUTED_VALUE"""),"rtp2021")</f>
        <v>rtp2021</v>
      </c>
      <c r="G5" s="103"/>
      <c r="H5" s="103" t="str">
        <f ca="1">IFERROR(__xludf.DUMMYFUNCTION("""COMPUTED_VALUE"""),"ภ.4")</f>
        <v>ภ.4</v>
      </c>
      <c r="I5" s="103">
        <f ca="1">IFERROR(__xludf.DUMMYFUNCTION("""COMPUTED_VALUE"""),0)</f>
        <v>0</v>
      </c>
      <c r="J5" s="103">
        <f ca="1">IFERROR(__xludf.DUMMYFUNCTION("""COMPUTED_VALUE"""),0)</f>
        <v>0</v>
      </c>
      <c r="K5" s="103">
        <f ca="1">IFERROR(__xludf.DUMMYFUNCTION("""COMPUTED_VALUE"""),3)</f>
        <v>3</v>
      </c>
      <c r="L5" s="103">
        <f ca="1">IFERROR(__xludf.DUMMYFUNCTION("""COMPUTED_VALUE"""),3)</f>
        <v>3</v>
      </c>
      <c r="M5" s="103">
        <f ca="1">IFERROR(__xludf.DUMMYFUNCTION("""COMPUTED_VALUE"""),10)</f>
        <v>10</v>
      </c>
      <c r="N5" s="103">
        <f ca="1">IFERROR(__xludf.DUMMYFUNCTION("""COMPUTED_VALUE"""),10)</f>
        <v>10</v>
      </c>
      <c r="O5" s="103">
        <f ca="1">IFERROR(__xludf.DUMMYFUNCTION("""COMPUTED_VALUE"""),0)</f>
        <v>0</v>
      </c>
      <c r="P5" s="103">
        <f ca="1">IFERROR(__xludf.DUMMYFUNCTION("""COMPUTED_VALUE"""),0)</f>
        <v>0</v>
      </c>
      <c r="Q5" s="103">
        <f ca="1">IFERROR(__xludf.DUMMYFUNCTION("""COMPUTED_VALUE"""),7)</f>
        <v>7</v>
      </c>
      <c r="R5" s="103">
        <f ca="1">IFERROR(__xludf.DUMMYFUNCTION("""COMPUTED_VALUE"""),7)</f>
        <v>7</v>
      </c>
      <c r="S5" s="103">
        <f ca="1">IFERROR(__xludf.DUMMYFUNCTION("""COMPUTED_VALUE"""),53)</f>
        <v>53</v>
      </c>
      <c r="T5" s="103">
        <f ca="1">IFERROR(__xludf.DUMMYFUNCTION("""COMPUTED_VALUE"""),103)</f>
        <v>103</v>
      </c>
      <c r="U5" s="103">
        <f ca="1">IFERROR(__xludf.DUMMYFUNCTION("""COMPUTED_VALUE"""),4)</f>
        <v>4</v>
      </c>
      <c r="V5" s="103">
        <f ca="1">IFERROR(__xludf.DUMMYFUNCTION("""COMPUTED_VALUE"""),4)</f>
        <v>4</v>
      </c>
      <c r="W5" s="103">
        <f ca="1">IFERROR(__xludf.DUMMYFUNCTION("""COMPUTED_VALUE"""),0)</f>
        <v>0</v>
      </c>
      <c r="X5" s="103">
        <f ca="1">IFERROR(__xludf.DUMMYFUNCTION("""COMPUTED_VALUE"""),0)</f>
        <v>0</v>
      </c>
      <c r="Y5" s="103">
        <f ca="1">IFERROR(__xludf.DUMMYFUNCTION("""COMPUTED_VALUE"""),0)</f>
        <v>0</v>
      </c>
      <c r="Z5" s="103">
        <f ca="1">IFERROR(__xludf.DUMMYFUNCTION("""COMPUTED_VALUE"""),0)</f>
        <v>0</v>
      </c>
      <c r="AA5" s="103">
        <f ca="1">IFERROR(__xludf.DUMMYFUNCTION("""COMPUTED_VALUE"""),1)</f>
        <v>1</v>
      </c>
      <c r="AB5" s="103">
        <f ca="1">IFERROR(__xludf.DUMMYFUNCTION("""COMPUTED_VALUE"""),1)</f>
        <v>1</v>
      </c>
      <c r="AC5" s="103">
        <f ca="1">IFERROR(__xludf.DUMMYFUNCTION("""COMPUTED_VALUE"""),63)</f>
        <v>63</v>
      </c>
      <c r="AD5" s="103">
        <f ca="1">IFERROR(__xludf.DUMMYFUNCTION("""COMPUTED_VALUE"""),62)</f>
        <v>62</v>
      </c>
      <c r="AE5" s="103">
        <f ca="1">IFERROR(__xludf.DUMMYFUNCTION("""COMPUTED_VALUE"""),129)</f>
        <v>129</v>
      </c>
      <c r="AF5" s="103">
        <f ca="1">IFERROR(__xludf.DUMMYFUNCTION("""COMPUTED_VALUE"""),129)</f>
        <v>129</v>
      </c>
      <c r="AG5" s="103">
        <f ca="1">IFERROR(__xludf.DUMMYFUNCTION("""COMPUTED_VALUE"""),294)</f>
        <v>294</v>
      </c>
      <c r="AH5" s="103">
        <f ca="1">IFERROR(__xludf.DUMMYFUNCTION("""COMPUTED_VALUE"""),288)</f>
        <v>288</v>
      </c>
      <c r="AI5" s="103">
        <f ca="1">IFERROR(__xludf.DUMMYFUNCTION("""COMPUTED_VALUE"""),0)</f>
        <v>0</v>
      </c>
      <c r="AJ5" s="103">
        <f ca="1">IFERROR(__xludf.DUMMYFUNCTION("""COMPUTED_VALUE"""),0)</f>
        <v>0</v>
      </c>
      <c r="AK5" s="103">
        <f ca="1">IFERROR(__xludf.DUMMYFUNCTION("""COMPUTED_VALUE"""),1)</f>
        <v>1</v>
      </c>
      <c r="AL5" s="103">
        <f ca="1">IFERROR(__xludf.DUMMYFUNCTION("""COMPUTED_VALUE"""),1)</f>
        <v>1</v>
      </c>
      <c r="AM5" s="103">
        <f ca="1">IFERROR(__xludf.DUMMYFUNCTION("""COMPUTED_VALUE"""),10)</f>
        <v>10</v>
      </c>
      <c r="AN5" s="103">
        <f ca="1">IFERROR(__xludf.DUMMYFUNCTION("""COMPUTED_VALUE"""),10)</f>
        <v>10</v>
      </c>
      <c r="AO5" s="103">
        <f ca="1">IFERROR(__xludf.DUMMYFUNCTION("""COMPUTED_VALUE"""),0)</f>
        <v>0</v>
      </c>
      <c r="AP5" s="103">
        <f ca="1">IFERROR(__xludf.DUMMYFUNCTION("""COMPUTED_VALUE"""),0)</f>
        <v>0</v>
      </c>
      <c r="AQ5" s="103">
        <f ca="1">IFERROR(__xludf.DUMMYFUNCTION("""COMPUTED_VALUE"""),26)</f>
        <v>26</v>
      </c>
      <c r="AR5" s="103">
        <f ca="1">IFERROR(__xludf.DUMMYFUNCTION("""COMPUTED_VALUE"""),26)</f>
        <v>26</v>
      </c>
      <c r="AS5" s="103">
        <f ca="1">IFERROR(__xludf.DUMMYFUNCTION("""COMPUTED_VALUE"""),1)</f>
        <v>1</v>
      </c>
      <c r="AT5" s="103">
        <f ca="1">IFERROR(__xludf.DUMMYFUNCTION("""COMPUTED_VALUE"""),1)</f>
        <v>1</v>
      </c>
      <c r="AU5" s="103">
        <f ca="1">IFERROR(__xludf.DUMMYFUNCTION("""COMPUTED_VALUE"""),0)</f>
        <v>0</v>
      </c>
      <c r="AV5" s="103">
        <f ca="1">IFERROR(__xludf.DUMMYFUNCTION("""COMPUTED_VALUE"""),0)</f>
        <v>0</v>
      </c>
      <c r="AW5" s="103">
        <f ca="1">IFERROR(__xludf.DUMMYFUNCTION("""COMPUTED_VALUE"""),3)</f>
        <v>3</v>
      </c>
      <c r="AX5" s="103">
        <f ca="1">IFERROR(__xludf.DUMMYFUNCTION("""COMPUTED_VALUE"""),3)</f>
        <v>3</v>
      </c>
      <c r="AY5" s="103">
        <f ca="1">IFERROR(__xludf.DUMMYFUNCTION("""COMPUTED_VALUE"""),0)</f>
        <v>0</v>
      </c>
      <c r="AZ5" s="103">
        <f ca="1">IFERROR(__xludf.DUMMYFUNCTION("""COMPUTED_VALUE"""),0)</f>
        <v>0</v>
      </c>
      <c r="BA5" s="103">
        <f ca="1">IFERROR(__xludf.DUMMYFUNCTION("""COMPUTED_VALUE"""),82)</f>
        <v>82</v>
      </c>
      <c r="BB5" s="103">
        <f ca="1">IFERROR(__xludf.DUMMYFUNCTION("""COMPUTED_VALUE"""),80)</f>
        <v>80</v>
      </c>
      <c r="BC5" s="103"/>
      <c r="BD5" s="103"/>
      <c r="BE5" s="103"/>
      <c r="BF5" s="103"/>
      <c r="BG5" s="103"/>
      <c r="BH5" s="103"/>
    </row>
    <row r="6" spans="1:67" ht="12.75">
      <c r="A6" s="111" t="s">
        <v>23</v>
      </c>
      <c r="B6" s="112"/>
      <c r="C6" s="113"/>
      <c r="D6" s="107">
        <f ca="1">IFERROR(__xludf.DUMMYFUNCTION("""COMPUTED_VALUE"""),44466.320042824)</f>
        <v>44466.320042824002</v>
      </c>
      <c r="E6" s="103" t="str">
        <f ca="1">IFERROR(__xludf.DUMMYFUNCTION("""COMPUTED_VALUE"""),"p4@rtp.com")</f>
        <v>p4@rtp.com</v>
      </c>
      <c r="F6" s="103" t="str">
        <f ca="1">IFERROR(__xludf.DUMMYFUNCTION("""COMPUTED_VALUE"""),"rtp2021")</f>
        <v>rtp2021</v>
      </c>
      <c r="G6" s="103"/>
      <c r="H6" s="103" t="str">
        <f ca="1">IFERROR(__xludf.DUMMYFUNCTION("""COMPUTED_VALUE"""),"ภ.4")</f>
        <v>ภ.4</v>
      </c>
      <c r="I6" s="103">
        <f ca="1">IFERROR(__xludf.DUMMYFUNCTION("""COMPUTED_VALUE"""),0)</f>
        <v>0</v>
      </c>
      <c r="J6" s="103">
        <f ca="1">IFERROR(__xludf.DUMMYFUNCTION("""COMPUTED_VALUE"""),0)</f>
        <v>0</v>
      </c>
      <c r="K6" s="103">
        <f ca="1">IFERROR(__xludf.DUMMYFUNCTION("""COMPUTED_VALUE"""),1)</f>
        <v>1</v>
      </c>
      <c r="L6" s="103">
        <f ca="1">IFERROR(__xludf.DUMMYFUNCTION("""COMPUTED_VALUE"""),1)</f>
        <v>1</v>
      </c>
      <c r="M6" s="103">
        <f ca="1">IFERROR(__xludf.DUMMYFUNCTION("""COMPUTED_VALUE"""),13)</f>
        <v>13</v>
      </c>
      <c r="N6" s="103">
        <f ca="1">IFERROR(__xludf.DUMMYFUNCTION("""COMPUTED_VALUE"""),13)</f>
        <v>13</v>
      </c>
      <c r="O6" s="103">
        <f ca="1">IFERROR(__xludf.DUMMYFUNCTION("""COMPUTED_VALUE"""),0)</f>
        <v>0</v>
      </c>
      <c r="P6" s="103">
        <f ca="1">IFERROR(__xludf.DUMMYFUNCTION("""COMPUTED_VALUE"""),0)</f>
        <v>0</v>
      </c>
      <c r="Q6" s="103">
        <f ca="1">IFERROR(__xludf.DUMMYFUNCTION("""COMPUTED_VALUE"""),5)</f>
        <v>5</v>
      </c>
      <c r="R6" s="103">
        <f ca="1">IFERROR(__xludf.DUMMYFUNCTION("""COMPUTED_VALUE"""),5)</f>
        <v>5</v>
      </c>
      <c r="S6" s="103">
        <f ca="1">IFERROR(__xludf.DUMMYFUNCTION("""COMPUTED_VALUE"""),67)</f>
        <v>67</v>
      </c>
      <c r="T6" s="103">
        <f ca="1">IFERROR(__xludf.DUMMYFUNCTION("""COMPUTED_VALUE"""),121)</f>
        <v>121</v>
      </c>
      <c r="U6" s="103">
        <f ca="1">IFERROR(__xludf.DUMMYFUNCTION("""COMPUTED_VALUE"""),7)</f>
        <v>7</v>
      </c>
      <c r="V6" s="103">
        <f ca="1">IFERROR(__xludf.DUMMYFUNCTION("""COMPUTED_VALUE"""),7)</f>
        <v>7</v>
      </c>
      <c r="W6" s="103">
        <f ca="1">IFERROR(__xludf.DUMMYFUNCTION("""COMPUTED_VALUE"""),0)</f>
        <v>0</v>
      </c>
      <c r="X6" s="103">
        <f ca="1">IFERROR(__xludf.DUMMYFUNCTION("""COMPUTED_VALUE"""),0)</f>
        <v>0</v>
      </c>
      <c r="Y6" s="103">
        <f ca="1">IFERROR(__xludf.DUMMYFUNCTION("""COMPUTED_VALUE"""),0)</f>
        <v>0</v>
      </c>
      <c r="Z6" s="103">
        <f ca="1">IFERROR(__xludf.DUMMYFUNCTION("""COMPUTED_VALUE"""),0)</f>
        <v>0</v>
      </c>
      <c r="AA6" s="103">
        <f ca="1">IFERROR(__xludf.DUMMYFUNCTION("""COMPUTED_VALUE"""),3)</f>
        <v>3</v>
      </c>
      <c r="AB6" s="103">
        <f ca="1">IFERROR(__xludf.DUMMYFUNCTION("""COMPUTED_VALUE"""),4)</f>
        <v>4</v>
      </c>
      <c r="AC6" s="103">
        <f ca="1">IFERROR(__xludf.DUMMYFUNCTION("""COMPUTED_VALUE"""),53)</f>
        <v>53</v>
      </c>
      <c r="AD6" s="103">
        <f ca="1">IFERROR(__xludf.DUMMYFUNCTION("""COMPUTED_VALUE"""),55)</f>
        <v>55</v>
      </c>
      <c r="AE6" s="103">
        <f ca="1">IFERROR(__xludf.DUMMYFUNCTION("""COMPUTED_VALUE"""),130)</f>
        <v>130</v>
      </c>
      <c r="AF6" s="103">
        <f ca="1">IFERROR(__xludf.DUMMYFUNCTION("""COMPUTED_VALUE"""),130)</f>
        <v>130</v>
      </c>
      <c r="AG6" s="103">
        <f ca="1">IFERROR(__xludf.DUMMYFUNCTION("""COMPUTED_VALUE"""),332)</f>
        <v>332</v>
      </c>
      <c r="AH6" s="103">
        <f ca="1">IFERROR(__xludf.DUMMYFUNCTION("""COMPUTED_VALUE"""),330)</f>
        <v>330</v>
      </c>
      <c r="AI6" s="103">
        <f ca="1">IFERROR(__xludf.DUMMYFUNCTION("""COMPUTED_VALUE"""),1)</f>
        <v>1</v>
      </c>
      <c r="AJ6" s="103">
        <f ca="1">IFERROR(__xludf.DUMMYFUNCTION("""COMPUTED_VALUE"""),1)</f>
        <v>1</v>
      </c>
      <c r="AK6" s="103">
        <f ca="1">IFERROR(__xludf.DUMMYFUNCTION("""COMPUTED_VALUE"""),0)</f>
        <v>0</v>
      </c>
      <c r="AL6" s="103">
        <f ca="1">IFERROR(__xludf.DUMMYFUNCTION("""COMPUTED_VALUE"""),0)</f>
        <v>0</v>
      </c>
      <c r="AM6" s="103">
        <f ca="1">IFERROR(__xludf.DUMMYFUNCTION("""COMPUTED_VALUE"""),21)</f>
        <v>21</v>
      </c>
      <c r="AN6" s="103">
        <f ca="1">IFERROR(__xludf.DUMMYFUNCTION("""COMPUTED_VALUE"""),21)</f>
        <v>21</v>
      </c>
      <c r="AO6" s="103">
        <f ca="1">IFERROR(__xludf.DUMMYFUNCTION("""COMPUTED_VALUE"""),0)</f>
        <v>0</v>
      </c>
      <c r="AP6" s="103">
        <f ca="1">IFERROR(__xludf.DUMMYFUNCTION("""COMPUTED_VALUE"""),0)</f>
        <v>0</v>
      </c>
      <c r="AQ6" s="103">
        <f ca="1">IFERROR(__xludf.DUMMYFUNCTION("""COMPUTED_VALUE"""),43)</f>
        <v>43</v>
      </c>
      <c r="AR6" s="103">
        <f ca="1">IFERROR(__xludf.DUMMYFUNCTION("""COMPUTED_VALUE"""),42)</f>
        <v>42</v>
      </c>
      <c r="AS6" s="103">
        <f ca="1">IFERROR(__xludf.DUMMYFUNCTION("""COMPUTED_VALUE"""),0)</f>
        <v>0</v>
      </c>
      <c r="AT6" s="103">
        <f ca="1">IFERROR(__xludf.DUMMYFUNCTION("""COMPUTED_VALUE"""),0)</f>
        <v>0</v>
      </c>
      <c r="AU6" s="103">
        <f ca="1">IFERROR(__xludf.DUMMYFUNCTION("""COMPUTED_VALUE"""),0)</f>
        <v>0</v>
      </c>
      <c r="AV6" s="103">
        <f ca="1">IFERROR(__xludf.DUMMYFUNCTION("""COMPUTED_VALUE"""),0)</f>
        <v>0</v>
      </c>
      <c r="AW6" s="103">
        <f ca="1">IFERROR(__xludf.DUMMYFUNCTION("""COMPUTED_VALUE"""),2)</f>
        <v>2</v>
      </c>
      <c r="AX6" s="103">
        <f ca="1">IFERROR(__xludf.DUMMYFUNCTION("""COMPUTED_VALUE"""),2)</f>
        <v>2</v>
      </c>
      <c r="AY6" s="103">
        <f ca="1">IFERROR(__xludf.DUMMYFUNCTION("""COMPUTED_VALUE"""),1)</f>
        <v>1</v>
      </c>
      <c r="AZ6" s="103">
        <f ca="1">IFERROR(__xludf.DUMMYFUNCTION("""COMPUTED_VALUE"""),1)</f>
        <v>1</v>
      </c>
      <c r="BA6" s="103">
        <f ca="1">IFERROR(__xludf.DUMMYFUNCTION("""COMPUTED_VALUE"""),71)</f>
        <v>71</v>
      </c>
      <c r="BB6" s="103">
        <f ca="1">IFERROR(__xludf.DUMMYFUNCTION("""COMPUTED_VALUE"""),67)</f>
        <v>67</v>
      </c>
      <c r="BC6" s="103"/>
      <c r="BD6" s="103"/>
      <c r="BE6" s="103"/>
      <c r="BF6" s="103"/>
      <c r="BG6" s="103"/>
      <c r="BH6" s="10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  <c r="D7" s="107">
        <f ca="1">IFERROR(__xludf.DUMMYFUNCTION("""COMPUTED_VALUE"""),44467.3216571875)</f>
        <v>44467.321657187502</v>
      </c>
      <c r="E7" s="103" t="str">
        <f ca="1">IFERROR(__xludf.DUMMYFUNCTION("""COMPUTED_VALUE"""),"p4@rtp.com")</f>
        <v>p4@rtp.com</v>
      </c>
      <c r="F7" s="103" t="str">
        <f ca="1">IFERROR(__xludf.DUMMYFUNCTION("""COMPUTED_VALUE"""),"rtp2021")</f>
        <v>rtp2021</v>
      </c>
      <c r="G7" s="103"/>
      <c r="H7" s="103" t="str">
        <f ca="1">IFERROR(__xludf.DUMMYFUNCTION("""COMPUTED_VALUE"""),"ภ.4")</f>
        <v>ภ.4</v>
      </c>
      <c r="I7" s="103">
        <f ca="1">IFERROR(__xludf.DUMMYFUNCTION("""COMPUTED_VALUE"""),0)</f>
        <v>0</v>
      </c>
      <c r="J7" s="103">
        <f ca="1">IFERROR(__xludf.DUMMYFUNCTION("""COMPUTED_VALUE"""),0)</f>
        <v>0</v>
      </c>
      <c r="K7" s="103">
        <f ca="1">IFERROR(__xludf.DUMMYFUNCTION("""COMPUTED_VALUE"""),1)</f>
        <v>1</v>
      </c>
      <c r="L7" s="103">
        <f ca="1">IFERROR(__xludf.DUMMYFUNCTION("""COMPUTED_VALUE"""),1)</f>
        <v>1</v>
      </c>
      <c r="M7" s="103">
        <f ca="1">IFERROR(__xludf.DUMMYFUNCTION("""COMPUTED_VALUE"""),12)</f>
        <v>12</v>
      </c>
      <c r="N7" s="103">
        <f ca="1">IFERROR(__xludf.DUMMYFUNCTION("""COMPUTED_VALUE"""),12)</f>
        <v>12</v>
      </c>
      <c r="O7" s="103">
        <f ca="1">IFERROR(__xludf.DUMMYFUNCTION("""COMPUTED_VALUE"""),0)</f>
        <v>0</v>
      </c>
      <c r="P7" s="103">
        <f ca="1">IFERROR(__xludf.DUMMYFUNCTION("""COMPUTED_VALUE"""),0)</f>
        <v>0</v>
      </c>
      <c r="Q7" s="103">
        <f ca="1">IFERROR(__xludf.DUMMYFUNCTION("""COMPUTED_VALUE"""),7)</f>
        <v>7</v>
      </c>
      <c r="R7" s="103">
        <f ca="1">IFERROR(__xludf.DUMMYFUNCTION("""COMPUTED_VALUE"""),7)</f>
        <v>7</v>
      </c>
      <c r="S7" s="103">
        <f ca="1">IFERROR(__xludf.DUMMYFUNCTION("""COMPUTED_VALUE"""),61)</f>
        <v>61</v>
      </c>
      <c r="T7" s="103">
        <f ca="1">IFERROR(__xludf.DUMMYFUNCTION("""COMPUTED_VALUE"""),120)</f>
        <v>120</v>
      </c>
      <c r="U7" s="103">
        <f ca="1">IFERROR(__xludf.DUMMYFUNCTION("""COMPUTED_VALUE"""),9)</f>
        <v>9</v>
      </c>
      <c r="V7" s="103">
        <f ca="1">IFERROR(__xludf.DUMMYFUNCTION("""COMPUTED_VALUE"""),9)</f>
        <v>9</v>
      </c>
      <c r="W7" s="103">
        <f ca="1">IFERROR(__xludf.DUMMYFUNCTION("""COMPUTED_VALUE"""),0)</f>
        <v>0</v>
      </c>
      <c r="X7" s="103">
        <f ca="1">IFERROR(__xludf.DUMMYFUNCTION("""COMPUTED_VALUE"""),0)</f>
        <v>0</v>
      </c>
      <c r="Y7" s="103">
        <f ca="1">IFERROR(__xludf.DUMMYFUNCTION("""COMPUTED_VALUE"""),0)</f>
        <v>0</v>
      </c>
      <c r="Z7" s="103">
        <f ca="1">IFERROR(__xludf.DUMMYFUNCTION("""COMPUTED_VALUE"""),0)</f>
        <v>0</v>
      </c>
      <c r="AA7" s="103">
        <f ca="1">IFERROR(__xludf.DUMMYFUNCTION("""COMPUTED_VALUE"""),3)</f>
        <v>3</v>
      </c>
      <c r="AB7" s="103">
        <f ca="1">IFERROR(__xludf.DUMMYFUNCTION("""COMPUTED_VALUE"""),3)</f>
        <v>3</v>
      </c>
      <c r="AC7" s="103">
        <f ca="1">IFERROR(__xludf.DUMMYFUNCTION("""COMPUTED_VALUE"""),77)</f>
        <v>77</v>
      </c>
      <c r="AD7" s="103">
        <f ca="1">IFERROR(__xludf.DUMMYFUNCTION("""COMPUTED_VALUE"""),78)</f>
        <v>78</v>
      </c>
      <c r="AE7" s="103">
        <f ca="1">IFERROR(__xludf.DUMMYFUNCTION("""COMPUTED_VALUE"""),129)</f>
        <v>129</v>
      </c>
      <c r="AF7" s="103">
        <f ca="1">IFERROR(__xludf.DUMMYFUNCTION("""COMPUTED_VALUE"""),128)</f>
        <v>128</v>
      </c>
      <c r="AG7" s="103">
        <f ca="1">IFERROR(__xludf.DUMMYFUNCTION("""COMPUTED_VALUE"""),355)</f>
        <v>355</v>
      </c>
      <c r="AH7" s="103">
        <f ca="1">IFERROR(__xludf.DUMMYFUNCTION("""COMPUTED_VALUE"""),354)</f>
        <v>354</v>
      </c>
      <c r="AI7" s="103">
        <f ca="1">IFERROR(__xludf.DUMMYFUNCTION("""COMPUTED_VALUE"""),0)</f>
        <v>0</v>
      </c>
      <c r="AJ7" s="103">
        <f ca="1">IFERROR(__xludf.DUMMYFUNCTION("""COMPUTED_VALUE"""),0)</f>
        <v>0</v>
      </c>
      <c r="AK7" s="103">
        <f ca="1">IFERROR(__xludf.DUMMYFUNCTION("""COMPUTED_VALUE"""),0)</f>
        <v>0</v>
      </c>
      <c r="AL7" s="103">
        <f ca="1">IFERROR(__xludf.DUMMYFUNCTION("""COMPUTED_VALUE"""),0)</f>
        <v>0</v>
      </c>
      <c r="AM7" s="103">
        <f ca="1">IFERROR(__xludf.DUMMYFUNCTION("""COMPUTED_VALUE"""),4)</f>
        <v>4</v>
      </c>
      <c r="AN7" s="103">
        <f ca="1">IFERROR(__xludf.DUMMYFUNCTION("""COMPUTED_VALUE"""),4)</f>
        <v>4</v>
      </c>
      <c r="AO7" s="103">
        <f ca="1">IFERROR(__xludf.DUMMYFUNCTION("""COMPUTED_VALUE"""),0)</f>
        <v>0</v>
      </c>
      <c r="AP7" s="103">
        <f ca="1">IFERROR(__xludf.DUMMYFUNCTION("""COMPUTED_VALUE"""),0)</f>
        <v>0</v>
      </c>
      <c r="AQ7" s="103">
        <f ca="1">IFERROR(__xludf.DUMMYFUNCTION("""COMPUTED_VALUE"""),21)</f>
        <v>21</v>
      </c>
      <c r="AR7" s="103">
        <f ca="1">IFERROR(__xludf.DUMMYFUNCTION("""COMPUTED_VALUE"""),21)</f>
        <v>21</v>
      </c>
      <c r="AS7" s="103">
        <f ca="1">IFERROR(__xludf.DUMMYFUNCTION("""COMPUTED_VALUE"""),1)</f>
        <v>1</v>
      </c>
      <c r="AT7" s="103">
        <f ca="1">IFERROR(__xludf.DUMMYFUNCTION("""COMPUTED_VALUE"""),1)</f>
        <v>1</v>
      </c>
      <c r="AU7" s="103">
        <f ca="1">IFERROR(__xludf.DUMMYFUNCTION("""COMPUTED_VALUE"""),0)</f>
        <v>0</v>
      </c>
      <c r="AV7" s="103">
        <f ca="1">IFERROR(__xludf.DUMMYFUNCTION("""COMPUTED_VALUE"""),0)</f>
        <v>0</v>
      </c>
      <c r="AW7" s="103">
        <f ca="1">IFERROR(__xludf.DUMMYFUNCTION("""COMPUTED_VALUE"""),3)</f>
        <v>3</v>
      </c>
      <c r="AX7" s="103">
        <f ca="1">IFERROR(__xludf.DUMMYFUNCTION("""COMPUTED_VALUE"""),3)</f>
        <v>3</v>
      </c>
      <c r="AY7" s="103">
        <f ca="1">IFERROR(__xludf.DUMMYFUNCTION("""COMPUTED_VALUE"""),0)</f>
        <v>0</v>
      </c>
      <c r="AZ7" s="103">
        <f ca="1">IFERROR(__xludf.DUMMYFUNCTION("""COMPUTED_VALUE"""),0)</f>
        <v>0</v>
      </c>
      <c r="BA7" s="103">
        <f ca="1">IFERROR(__xludf.DUMMYFUNCTION("""COMPUTED_VALUE"""),95)</f>
        <v>95</v>
      </c>
      <c r="BB7" s="103">
        <f ca="1">IFERROR(__xludf.DUMMYFUNCTION("""COMPUTED_VALUE"""),93)</f>
        <v>93</v>
      </c>
      <c r="BC7" s="103"/>
      <c r="BD7" s="103"/>
      <c r="BE7" s="103"/>
      <c r="BF7" s="103"/>
      <c r="BG7" s="103"/>
      <c r="BH7" s="103"/>
    </row>
    <row r="8" spans="1:67" ht="12.75">
      <c r="A8" s="114" t="s">
        <v>25</v>
      </c>
      <c r="B8" s="115"/>
      <c r="C8" s="116"/>
      <c r="D8" s="107">
        <f ca="1">IFERROR(__xludf.DUMMYFUNCTION("""COMPUTED_VALUE"""),44468.3211005671)</f>
        <v>44468.321100567096</v>
      </c>
      <c r="E8" s="103" t="str">
        <f ca="1">IFERROR(__xludf.DUMMYFUNCTION("""COMPUTED_VALUE"""),"p4@rtp.com")</f>
        <v>p4@rtp.com</v>
      </c>
      <c r="F8" s="103" t="str">
        <f ca="1">IFERROR(__xludf.DUMMYFUNCTION("""COMPUTED_VALUE"""),"rtp2021")</f>
        <v>rtp2021</v>
      </c>
      <c r="G8" s="103"/>
      <c r="H8" s="103" t="str">
        <f ca="1">IFERROR(__xludf.DUMMYFUNCTION("""COMPUTED_VALUE"""),"ภ.4")</f>
        <v>ภ.4</v>
      </c>
      <c r="I8" s="103">
        <f ca="1">IFERROR(__xludf.DUMMYFUNCTION("""COMPUTED_VALUE"""),0)</f>
        <v>0</v>
      </c>
      <c r="J8" s="103">
        <f ca="1">IFERROR(__xludf.DUMMYFUNCTION("""COMPUTED_VALUE"""),0)</f>
        <v>0</v>
      </c>
      <c r="K8" s="103">
        <f ca="1">IFERROR(__xludf.DUMMYFUNCTION("""COMPUTED_VALUE"""),2)</f>
        <v>2</v>
      </c>
      <c r="L8" s="103">
        <f ca="1">IFERROR(__xludf.DUMMYFUNCTION("""COMPUTED_VALUE"""),2)</f>
        <v>2</v>
      </c>
      <c r="M8" s="103">
        <f ca="1">IFERROR(__xludf.DUMMYFUNCTION("""COMPUTED_VALUE"""),17)</f>
        <v>17</v>
      </c>
      <c r="N8" s="103">
        <f ca="1">IFERROR(__xludf.DUMMYFUNCTION("""COMPUTED_VALUE"""),17)</f>
        <v>17</v>
      </c>
      <c r="O8" s="103">
        <f ca="1">IFERROR(__xludf.DUMMYFUNCTION("""COMPUTED_VALUE"""),1)</f>
        <v>1</v>
      </c>
      <c r="P8" s="103">
        <f ca="1">IFERROR(__xludf.DUMMYFUNCTION("""COMPUTED_VALUE"""),1)</f>
        <v>1</v>
      </c>
      <c r="Q8" s="103">
        <f ca="1">IFERROR(__xludf.DUMMYFUNCTION("""COMPUTED_VALUE"""),13)</f>
        <v>13</v>
      </c>
      <c r="R8" s="103">
        <f ca="1">IFERROR(__xludf.DUMMYFUNCTION("""COMPUTED_VALUE"""),13)</f>
        <v>13</v>
      </c>
      <c r="S8" s="103">
        <f ca="1">IFERROR(__xludf.DUMMYFUNCTION("""COMPUTED_VALUE"""),51)</f>
        <v>51</v>
      </c>
      <c r="T8" s="103">
        <f ca="1">IFERROR(__xludf.DUMMYFUNCTION("""COMPUTED_VALUE"""),97)</f>
        <v>97</v>
      </c>
      <c r="U8" s="103">
        <f ca="1">IFERROR(__xludf.DUMMYFUNCTION("""COMPUTED_VALUE"""),14)</f>
        <v>14</v>
      </c>
      <c r="V8" s="103">
        <f ca="1">IFERROR(__xludf.DUMMYFUNCTION("""COMPUTED_VALUE"""),14)</f>
        <v>14</v>
      </c>
      <c r="W8" s="103">
        <f ca="1">IFERROR(__xludf.DUMMYFUNCTION("""COMPUTED_VALUE"""),0)</f>
        <v>0</v>
      </c>
      <c r="X8" s="103">
        <f ca="1">IFERROR(__xludf.DUMMYFUNCTION("""COMPUTED_VALUE"""),0)</f>
        <v>0</v>
      </c>
      <c r="Y8" s="103">
        <f ca="1">IFERROR(__xludf.DUMMYFUNCTION("""COMPUTED_VALUE"""),0)</f>
        <v>0</v>
      </c>
      <c r="Z8" s="103">
        <f ca="1">IFERROR(__xludf.DUMMYFUNCTION("""COMPUTED_VALUE"""),0)</f>
        <v>0</v>
      </c>
      <c r="AA8" s="103">
        <f ca="1">IFERROR(__xludf.DUMMYFUNCTION("""COMPUTED_VALUE"""),4)</f>
        <v>4</v>
      </c>
      <c r="AB8" s="103">
        <f ca="1">IFERROR(__xludf.DUMMYFUNCTION("""COMPUTED_VALUE"""),4)</f>
        <v>4</v>
      </c>
      <c r="AC8" s="103">
        <f ca="1">IFERROR(__xludf.DUMMYFUNCTION("""COMPUTED_VALUE"""),89)</f>
        <v>89</v>
      </c>
      <c r="AD8" s="103">
        <f ca="1">IFERROR(__xludf.DUMMYFUNCTION("""COMPUTED_VALUE"""),99)</f>
        <v>99</v>
      </c>
      <c r="AE8" s="103">
        <f ca="1">IFERROR(__xludf.DUMMYFUNCTION("""COMPUTED_VALUE"""),104)</f>
        <v>104</v>
      </c>
      <c r="AF8" s="103">
        <f ca="1">IFERROR(__xludf.DUMMYFUNCTION("""COMPUTED_VALUE"""),103)</f>
        <v>103</v>
      </c>
      <c r="AG8" s="103">
        <f ca="1">IFERROR(__xludf.DUMMYFUNCTION("""COMPUTED_VALUE"""),327)</f>
        <v>327</v>
      </c>
      <c r="AH8" s="103">
        <f ca="1">IFERROR(__xludf.DUMMYFUNCTION("""COMPUTED_VALUE"""),325)</f>
        <v>325</v>
      </c>
      <c r="AI8" s="103">
        <f ca="1">IFERROR(__xludf.DUMMYFUNCTION("""COMPUTED_VALUE"""),0)</f>
        <v>0</v>
      </c>
      <c r="AJ8" s="103">
        <f ca="1">IFERROR(__xludf.DUMMYFUNCTION("""COMPUTED_VALUE"""),0)</f>
        <v>0</v>
      </c>
      <c r="AK8" s="103">
        <f ca="1">IFERROR(__xludf.DUMMYFUNCTION("""COMPUTED_VALUE"""),0)</f>
        <v>0</v>
      </c>
      <c r="AL8" s="103">
        <f ca="1">IFERROR(__xludf.DUMMYFUNCTION("""COMPUTED_VALUE"""),0)</f>
        <v>0</v>
      </c>
      <c r="AM8" s="103">
        <f ca="1">IFERROR(__xludf.DUMMYFUNCTION("""COMPUTED_VALUE"""),15)</f>
        <v>15</v>
      </c>
      <c r="AN8" s="103">
        <f ca="1">IFERROR(__xludf.DUMMYFUNCTION("""COMPUTED_VALUE"""),15)</f>
        <v>15</v>
      </c>
      <c r="AO8" s="103">
        <f ca="1">IFERROR(__xludf.DUMMYFUNCTION("""COMPUTED_VALUE"""),0)</f>
        <v>0</v>
      </c>
      <c r="AP8" s="103">
        <f ca="1">IFERROR(__xludf.DUMMYFUNCTION("""COMPUTED_VALUE"""),0)</f>
        <v>0</v>
      </c>
      <c r="AQ8" s="103">
        <f ca="1">IFERROR(__xludf.DUMMYFUNCTION("""COMPUTED_VALUE"""),42)</f>
        <v>42</v>
      </c>
      <c r="AR8" s="103">
        <f ca="1">IFERROR(__xludf.DUMMYFUNCTION("""COMPUTED_VALUE"""),41)</f>
        <v>41</v>
      </c>
      <c r="AS8" s="103">
        <f ca="1">IFERROR(__xludf.DUMMYFUNCTION("""COMPUTED_VALUE"""),3)</f>
        <v>3</v>
      </c>
      <c r="AT8" s="103">
        <f ca="1">IFERROR(__xludf.DUMMYFUNCTION("""COMPUTED_VALUE"""),3)</f>
        <v>3</v>
      </c>
      <c r="AU8" s="103">
        <f ca="1">IFERROR(__xludf.DUMMYFUNCTION("""COMPUTED_VALUE"""),0)</f>
        <v>0</v>
      </c>
      <c r="AV8" s="103">
        <f ca="1">IFERROR(__xludf.DUMMYFUNCTION("""COMPUTED_VALUE"""),0)</f>
        <v>0</v>
      </c>
      <c r="AW8" s="103">
        <f ca="1">IFERROR(__xludf.DUMMYFUNCTION("""COMPUTED_VALUE"""),5)</f>
        <v>5</v>
      </c>
      <c r="AX8" s="103">
        <f ca="1">IFERROR(__xludf.DUMMYFUNCTION("""COMPUTED_VALUE"""),5)</f>
        <v>5</v>
      </c>
      <c r="AY8" s="103">
        <f ca="1">IFERROR(__xludf.DUMMYFUNCTION("""COMPUTED_VALUE"""),2)</f>
        <v>2</v>
      </c>
      <c r="AZ8" s="103">
        <f ca="1">IFERROR(__xludf.DUMMYFUNCTION("""COMPUTED_VALUE"""),2)</f>
        <v>2</v>
      </c>
      <c r="BA8" s="103">
        <f ca="1">IFERROR(__xludf.DUMMYFUNCTION("""COMPUTED_VALUE"""),95)</f>
        <v>95</v>
      </c>
      <c r="BB8" s="103">
        <f ca="1">IFERROR(__xludf.DUMMYFUNCTION("""COMPUTED_VALUE"""),95)</f>
        <v>95</v>
      </c>
      <c r="BC8" s="103"/>
      <c r="BD8" s="103"/>
      <c r="BE8" s="103"/>
      <c r="BF8" s="103"/>
      <c r="BG8" s="103"/>
      <c r="BH8" s="103"/>
    </row>
    <row r="9" spans="1:67" ht="12.75">
      <c r="A9" s="114" t="s">
        <v>26</v>
      </c>
      <c r="B9" s="115">
        <f t="shared" ref="B9:C9" ca="1" si="1">SUM(K:K)</f>
        <v>27</v>
      </c>
      <c r="C9" s="116">
        <f t="shared" ca="1" si="1"/>
        <v>27</v>
      </c>
      <c r="D9" s="107">
        <f ca="1">IFERROR(__xludf.DUMMYFUNCTION("""COMPUTED_VALUE"""),44469.3225553472)</f>
        <v>44469.3225553472</v>
      </c>
      <c r="E9" s="103" t="str">
        <f ca="1">IFERROR(__xludf.DUMMYFUNCTION("""COMPUTED_VALUE"""),"p4@rtp.com")</f>
        <v>p4@rtp.com</v>
      </c>
      <c r="F9" s="103" t="str">
        <f ca="1">IFERROR(__xludf.DUMMYFUNCTION("""COMPUTED_VALUE"""),"rtp2021")</f>
        <v>rtp2021</v>
      </c>
      <c r="G9" s="103"/>
      <c r="H9" s="103" t="str">
        <f ca="1">IFERROR(__xludf.DUMMYFUNCTION("""COMPUTED_VALUE"""),"ภ.4")</f>
        <v>ภ.4</v>
      </c>
      <c r="I9" s="103">
        <f ca="1">IFERROR(__xludf.DUMMYFUNCTION("""COMPUTED_VALUE"""),0)</f>
        <v>0</v>
      </c>
      <c r="J9" s="103">
        <f ca="1">IFERROR(__xludf.DUMMYFUNCTION("""COMPUTED_VALUE"""),0)</f>
        <v>0</v>
      </c>
      <c r="K9" s="103">
        <f ca="1">IFERROR(__xludf.DUMMYFUNCTION("""COMPUTED_VALUE"""),12)</f>
        <v>12</v>
      </c>
      <c r="L9" s="103">
        <f ca="1">IFERROR(__xludf.DUMMYFUNCTION("""COMPUTED_VALUE"""),12)</f>
        <v>12</v>
      </c>
      <c r="M9" s="103">
        <f ca="1">IFERROR(__xludf.DUMMYFUNCTION("""COMPUTED_VALUE"""),15)</f>
        <v>15</v>
      </c>
      <c r="N9" s="103">
        <f ca="1">IFERROR(__xludf.DUMMYFUNCTION("""COMPUTED_VALUE"""),15)</f>
        <v>15</v>
      </c>
      <c r="O9" s="103">
        <f ca="1">IFERROR(__xludf.DUMMYFUNCTION("""COMPUTED_VALUE"""),1)</f>
        <v>1</v>
      </c>
      <c r="P9" s="103">
        <f ca="1">IFERROR(__xludf.DUMMYFUNCTION("""COMPUTED_VALUE"""),1)</f>
        <v>1</v>
      </c>
      <c r="Q9" s="103">
        <f ca="1">IFERROR(__xludf.DUMMYFUNCTION("""COMPUTED_VALUE"""),6)</f>
        <v>6</v>
      </c>
      <c r="R9" s="103">
        <f ca="1">IFERROR(__xludf.DUMMYFUNCTION("""COMPUTED_VALUE"""),6)</f>
        <v>6</v>
      </c>
      <c r="S9" s="103">
        <f ca="1">IFERROR(__xludf.DUMMYFUNCTION("""COMPUTED_VALUE"""),43)</f>
        <v>43</v>
      </c>
      <c r="T9" s="103">
        <f ca="1">IFERROR(__xludf.DUMMYFUNCTION("""COMPUTED_VALUE"""),80)</f>
        <v>80</v>
      </c>
      <c r="U9" s="103">
        <f ca="1">IFERROR(__xludf.DUMMYFUNCTION("""COMPUTED_VALUE"""),25)</f>
        <v>25</v>
      </c>
      <c r="V9" s="103">
        <f ca="1">IFERROR(__xludf.DUMMYFUNCTION("""COMPUTED_VALUE"""),25)</f>
        <v>25</v>
      </c>
      <c r="W9" s="103">
        <f ca="1">IFERROR(__xludf.DUMMYFUNCTION("""COMPUTED_VALUE"""),0)</f>
        <v>0</v>
      </c>
      <c r="X9" s="103">
        <f ca="1">IFERROR(__xludf.DUMMYFUNCTION("""COMPUTED_VALUE"""),0)</f>
        <v>0</v>
      </c>
      <c r="Y9" s="103">
        <f ca="1">IFERROR(__xludf.DUMMYFUNCTION("""COMPUTED_VALUE"""),0)</f>
        <v>0</v>
      </c>
      <c r="Z9" s="103">
        <f ca="1">IFERROR(__xludf.DUMMYFUNCTION("""COMPUTED_VALUE"""),0)</f>
        <v>0</v>
      </c>
      <c r="AA9" s="103">
        <f ca="1">IFERROR(__xludf.DUMMYFUNCTION("""COMPUTED_VALUE"""),2)</f>
        <v>2</v>
      </c>
      <c r="AB9" s="103">
        <f ca="1">IFERROR(__xludf.DUMMYFUNCTION("""COMPUTED_VALUE"""),3)</f>
        <v>3</v>
      </c>
      <c r="AC9" s="103">
        <f ca="1">IFERROR(__xludf.DUMMYFUNCTION("""COMPUTED_VALUE"""),61)</f>
        <v>61</v>
      </c>
      <c r="AD9" s="103">
        <f ca="1">IFERROR(__xludf.DUMMYFUNCTION("""COMPUTED_VALUE"""),64)</f>
        <v>64</v>
      </c>
      <c r="AE9" s="103">
        <f ca="1">IFERROR(__xludf.DUMMYFUNCTION("""COMPUTED_VALUE"""),101)</f>
        <v>101</v>
      </c>
      <c r="AF9" s="103">
        <f ca="1">IFERROR(__xludf.DUMMYFUNCTION("""COMPUTED_VALUE"""),101)</f>
        <v>101</v>
      </c>
      <c r="AG9" s="103">
        <f ca="1">IFERROR(__xludf.DUMMYFUNCTION("""COMPUTED_VALUE"""),318)</f>
        <v>318</v>
      </c>
      <c r="AH9" s="103">
        <f ca="1">IFERROR(__xludf.DUMMYFUNCTION("""COMPUTED_VALUE"""),314)</f>
        <v>314</v>
      </c>
      <c r="AI9" s="103">
        <f ca="1">IFERROR(__xludf.DUMMYFUNCTION("""COMPUTED_VALUE"""),0)</f>
        <v>0</v>
      </c>
      <c r="AJ9" s="103">
        <f ca="1">IFERROR(__xludf.DUMMYFUNCTION("""COMPUTED_VALUE"""),0)</f>
        <v>0</v>
      </c>
      <c r="AK9" s="103">
        <f ca="1">IFERROR(__xludf.DUMMYFUNCTION("""COMPUTED_VALUE"""),0)</f>
        <v>0</v>
      </c>
      <c r="AL9" s="103">
        <f ca="1">IFERROR(__xludf.DUMMYFUNCTION("""COMPUTED_VALUE"""),0)</f>
        <v>0</v>
      </c>
      <c r="AM9" s="103">
        <f ca="1">IFERROR(__xludf.DUMMYFUNCTION("""COMPUTED_VALUE"""),5)</f>
        <v>5</v>
      </c>
      <c r="AN9" s="103">
        <f ca="1">IFERROR(__xludf.DUMMYFUNCTION("""COMPUTED_VALUE"""),5)</f>
        <v>5</v>
      </c>
      <c r="AO9" s="103">
        <f ca="1">IFERROR(__xludf.DUMMYFUNCTION("""COMPUTED_VALUE"""),0)</f>
        <v>0</v>
      </c>
      <c r="AP9" s="103">
        <f ca="1">IFERROR(__xludf.DUMMYFUNCTION("""COMPUTED_VALUE"""),0)</f>
        <v>0</v>
      </c>
      <c r="AQ9" s="103">
        <f ca="1">IFERROR(__xludf.DUMMYFUNCTION("""COMPUTED_VALUE"""),32)</f>
        <v>32</v>
      </c>
      <c r="AR9" s="103">
        <f ca="1">IFERROR(__xludf.DUMMYFUNCTION("""COMPUTED_VALUE"""),31)</f>
        <v>31</v>
      </c>
      <c r="AS9" s="103">
        <f ca="1">IFERROR(__xludf.DUMMYFUNCTION("""COMPUTED_VALUE"""),4)</f>
        <v>4</v>
      </c>
      <c r="AT9" s="103">
        <f ca="1">IFERROR(__xludf.DUMMYFUNCTION("""COMPUTED_VALUE"""),4)</f>
        <v>4</v>
      </c>
      <c r="AU9" s="103">
        <f ca="1">IFERROR(__xludf.DUMMYFUNCTION("""COMPUTED_VALUE"""),0)</f>
        <v>0</v>
      </c>
      <c r="AV9" s="103">
        <f ca="1">IFERROR(__xludf.DUMMYFUNCTION("""COMPUTED_VALUE"""),0)</f>
        <v>0</v>
      </c>
      <c r="AW9" s="103">
        <f ca="1">IFERROR(__xludf.DUMMYFUNCTION("""COMPUTED_VALUE"""),4)</f>
        <v>4</v>
      </c>
      <c r="AX9" s="103">
        <f ca="1">IFERROR(__xludf.DUMMYFUNCTION("""COMPUTED_VALUE"""),4)</f>
        <v>4</v>
      </c>
      <c r="AY9" s="103">
        <f ca="1">IFERROR(__xludf.DUMMYFUNCTION("""COMPUTED_VALUE"""),0)</f>
        <v>0</v>
      </c>
      <c r="AZ9" s="103">
        <f ca="1">IFERROR(__xludf.DUMMYFUNCTION("""COMPUTED_VALUE"""),0)</f>
        <v>0</v>
      </c>
      <c r="BA9" s="103">
        <f ca="1">IFERROR(__xludf.DUMMYFUNCTION("""COMPUTED_VALUE"""),80)</f>
        <v>80</v>
      </c>
      <c r="BB9" s="103">
        <f ca="1">IFERROR(__xludf.DUMMYFUNCTION("""COMPUTED_VALUE"""),82)</f>
        <v>82</v>
      </c>
      <c r="BC9" s="103"/>
      <c r="BD9" s="103"/>
      <c r="BE9" s="103"/>
      <c r="BF9" s="103"/>
      <c r="BG9" s="103"/>
      <c r="BH9" s="103"/>
    </row>
    <row r="10" spans="1:67" ht="12.75">
      <c r="A10" s="114" t="s">
        <v>27</v>
      </c>
      <c r="B10" s="115">
        <f t="shared" ref="B10:C10" ca="1" si="2">SUM(M:M)</f>
        <v>108</v>
      </c>
      <c r="C10" s="116">
        <f t="shared" ca="1" si="2"/>
        <v>108</v>
      </c>
      <c r="D10" s="107">
        <f ca="1">IFERROR(__xludf.DUMMYFUNCTION("""COMPUTED_VALUE"""),44470.3187081365)</f>
        <v>44470.318708136503</v>
      </c>
      <c r="E10" s="103" t="str">
        <f ca="1">IFERROR(__xludf.DUMMYFUNCTION("""COMPUTED_VALUE"""),"p4@rtp.com")</f>
        <v>p4@rtp.com</v>
      </c>
      <c r="F10" s="103" t="str">
        <f ca="1">IFERROR(__xludf.DUMMYFUNCTION("""COMPUTED_VALUE"""),"rtp2021")</f>
        <v>rtp2021</v>
      </c>
      <c r="G10" s="103"/>
      <c r="H10" s="103" t="str">
        <f ca="1">IFERROR(__xludf.DUMMYFUNCTION("""COMPUTED_VALUE"""),"ภ.4")</f>
        <v>ภ.4</v>
      </c>
      <c r="I10" s="103">
        <f ca="1">IFERROR(__xludf.DUMMYFUNCTION("""COMPUTED_VALUE"""),0)</f>
        <v>0</v>
      </c>
      <c r="J10" s="103">
        <f ca="1">IFERROR(__xludf.DUMMYFUNCTION("""COMPUTED_VALUE"""),0)</f>
        <v>0</v>
      </c>
      <c r="K10" s="103">
        <f ca="1">IFERROR(__xludf.DUMMYFUNCTION("""COMPUTED_VALUE"""),4)</f>
        <v>4</v>
      </c>
      <c r="L10" s="103">
        <f ca="1">IFERROR(__xludf.DUMMYFUNCTION("""COMPUTED_VALUE"""),4)</f>
        <v>4</v>
      </c>
      <c r="M10" s="103">
        <f ca="1">IFERROR(__xludf.DUMMYFUNCTION("""COMPUTED_VALUE"""),13)</f>
        <v>13</v>
      </c>
      <c r="N10" s="103">
        <f ca="1">IFERROR(__xludf.DUMMYFUNCTION("""COMPUTED_VALUE"""),13)</f>
        <v>13</v>
      </c>
      <c r="O10" s="103">
        <f ca="1">IFERROR(__xludf.DUMMYFUNCTION("""COMPUTED_VALUE"""),0)</f>
        <v>0</v>
      </c>
      <c r="P10" s="103">
        <f ca="1">IFERROR(__xludf.DUMMYFUNCTION("""COMPUTED_VALUE"""),0)</f>
        <v>0</v>
      </c>
      <c r="Q10" s="103">
        <f ca="1">IFERROR(__xludf.DUMMYFUNCTION("""COMPUTED_VALUE"""),1)</f>
        <v>1</v>
      </c>
      <c r="R10" s="103">
        <f ca="1">IFERROR(__xludf.DUMMYFUNCTION("""COMPUTED_VALUE"""),1)</f>
        <v>1</v>
      </c>
      <c r="S10" s="103">
        <f ca="1">IFERROR(__xludf.DUMMYFUNCTION("""COMPUTED_VALUE"""),141)</f>
        <v>141</v>
      </c>
      <c r="T10" s="103">
        <f ca="1">IFERROR(__xludf.DUMMYFUNCTION("""COMPUTED_VALUE"""),151)</f>
        <v>151</v>
      </c>
      <c r="U10" s="103">
        <f ca="1">IFERROR(__xludf.DUMMYFUNCTION("""COMPUTED_VALUE"""),34)</f>
        <v>34</v>
      </c>
      <c r="V10" s="103">
        <f ca="1">IFERROR(__xludf.DUMMYFUNCTION("""COMPUTED_VALUE"""),33)</f>
        <v>33</v>
      </c>
      <c r="W10" s="103">
        <f ca="1">IFERROR(__xludf.DUMMYFUNCTION("""COMPUTED_VALUE"""),0)</f>
        <v>0</v>
      </c>
      <c r="X10" s="103">
        <f ca="1">IFERROR(__xludf.DUMMYFUNCTION("""COMPUTED_VALUE"""),0)</f>
        <v>0</v>
      </c>
      <c r="Y10" s="103">
        <f ca="1">IFERROR(__xludf.DUMMYFUNCTION("""COMPUTED_VALUE"""),0)</f>
        <v>0</v>
      </c>
      <c r="Z10" s="103">
        <f ca="1">IFERROR(__xludf.DUMMYFUNCTION("""COMPUTED_VALUE"""),0)</f>
        <v>0</v>
      </c>
      <c r="AA10" s="103">
        <f ca="1">IFERROR(__xludf.DUMMYFUNCTION("""COMPUTED_VALUE"""),0)</f>
        <v>0</v>
      </c>
      <c r="AB10" s="103">
        <f ca="1">IFERROR(__xludf.DUMMYFUNCTION("""COMPUTED_VALUE"""),0)</f>
        <v>0</v>
      </c>
      <c r="AC10" s="103">
        <f ca="1">IFERROR(__xludf.DUMMYFUNCTION("""COMPUTED_VALUE"""),50)</f>
        <v>50</v>
      </c>
      <c r="AD10" s="103">
        <f ca="1">IFERROR(__xludf.DUMMYFUNCTION("""COMPUTED_VALUE"""),55)</f>
        <v>55</v>
      </c>
      <c r="AE10" s="103">
        <f ca="1">IFERROR(__xludf.DUMMYFUNCTION("""COMPUTED_VALUE"""),107)</f>
        <v>107</v>
      </c>
      <c r="AF10" s="103">
        <f ca="1">IFERROR(__xludf.DUMMYFUNCTION("""COMPUTED_VALUE"""),107)</f>
        <v>107</v>
      </c>
      <c r="AG10" s="103">
        <f ca="1">IFERROR(__xludf.DUMMYFUNCTION("""COMPUTED_VALUE"""),323)</f>
        <v>323</v>
      </c>
      <c r="AH10" s="103">
        <f ca="1">IFERROR(__xludf.DUMMYFUNCTION("""COMPUTED_VALUE"""),322)</f>
        <v>322</v>
      </c>
      <c r="AI10" s="103">
        <f ca="1">IFERROR(__xludf.DUMMYFUNCTION("""COMPUTED_VALUE"""),0)</f>
        <v>0</v>
      </c>
      <c r="AJ10" s="103">
        <f ca="1">IFERROR(__xludf.DUMMYFUNCTION("""COMPUTED_VALUE"""),0)</f>
        <v>0</v>
      </c>
      <c r="AK10" s="103">
        <f ca="1">IFERROR(__xludf.DUMMYFUNCTION("""COMPUTED_VALUE"""),0)</f>
        <v>0</v>
      </c>
      <c r="AL10" s="103">
        <f ca="1">IFERROR(__xludf.DUMMYFUNCTION("""COMPUTED_VALUE"""),0)</f>
        <v>0</v>
      </c>
      <c r="AM10" s="103">
        <f ca="1">IFERROR(__xludf.DUMMYFUNCTION("""COMPUTED_VALUE"""),17)</f>
        <v>17</v>
      </c>
      <c r="AN10" s="103">
        <f ca="1">IFERROR(__xludf.DUMMYFUNCTION("""COMPUTED_VALUE"""),17)</f>
        <v>17</v>
      </c>
      <c r="AO10" s="103">
        <f ca="1">IFERROR(__xludf.DUMMYFUNCTION("""COMPUTED_VALUE"""),0)</f>
        <v>0</v>
      </c>
      <c r="AP10" s="103">
        <f ca="1">IFERROR(__xludf.DUMMYFUNCTION("""COMPUTED_VALUE"""),0)</f>
        <v>0</v>
      </c>
      <c r="AQ10" s="103">
        <f ca="1">IFERROR(__xludf.DUMMYFUNCTION("""COMPUTED_VALUE"""),32)</f>
        <v>32</v>
      </c>
      <c r="AR10" s="103">
        <f ca="1">IFERROR(__xludf.DUMMYFUNCTION("""COMPUTED_VALUE"""),30)</f>
        <v>30</v>
      </c>
      <c r="AS10" s="103">
        <f ca="1">IFERROR(__xludf.DUMMYFUNCTION("""COMPUTED_VALUE"""),1)</f>
        <v>1</v>
      </c>
      <c r="AT10" s="103">
        <f ca="1">IFERROR(__xludf.DUMMYFUNCTION("""COMPUTED_VALUE"""),1)</f>
        <v>1</v>
      </c>
      <c r="AU10" s="103">
        <f ca="1">IFERROR(__xludf.DUMMYFUNCTION("""COMPUTED_VALUE"""),0)</f>
        <v>0</v>
      </c>
      <c r="AV10" s="103">
        <f ca="1">IFERROR(__xludf.DUMMYFUNCTION("""COMPUTED_VALUE"""),0)</f>
        <v>0</v>
      </c>
      <c r="AW10" s="103">
        <f ca="1">IFERROR(__xludf.DUMMYFUNCTION("""COMPUTED_VALUE"""),5)</f>
        <v>5</v>
      </c>
      <c r="AX10" s="103">
        <f ca="1">IFERROR(__xludf.DUMMYFUNCTION("""COMPUTED_VALUE"""),5)</f>
        <v>5</v>
      </c>
      <c r="AY10" s="103">
        <f ca="1">IFERROR(__xludf.DUMMYFUNCTION("""COMPUTED_VALUE"""),0)</f>
        <v>0</v>
      </c>
      <c r="AZ10" s="103">
        <f ca="1">IFERROR(__xludf.DUMMYFUNCTION("""COMPUTED_VALUE"""),0)</f>
        <v>0</v>
      </c>
      <c r="BA10" s="103">
        <f ca="1">IFERROR(__xludf.DUMMYFUNCTION("""COMPUTED_VALUE"""),73)</f>
        <v>73</v>
      </c>
      <c r="BB10" s="103">
        <f ca="1">IFERROR(__xludf.DUMMYFUNCTION("""COMPUTED_VALUE"""),72)</f>
        <v>72</v>
      </c>
      <c r="BC10" s="103"/>
      <c r="BD10" s="103"/>
      <c r="BE10" s="103"/>
      <c r="BF10" s="103"/>
      <c r="BG10" s="103"/>
      <c r="BH10" s="103"/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2</v>
      </c>
      <c r="C12" s="116">
        <f t="shared" ca="1" si="3"/>
        <v>2</v>
      </c>
    </row>
    <row r="13" spans="1:67" ht="12.75">
      <c r="A13" s="114" t="s">
        <v>30</v>
      </c>
      <c r="B13" s="115">
        <f t="shared" ref="B13:C13" ca="1" si="4">SUM(Q:Q)</f>
        <v>49</v>
      </c>
      <c r="C13" s="116">
        <f t="shared" ca="1" si="4"/>
        <v>49</v>
      </c>
    </row>
    <row r="14" spans="1:67" ht="12.75">
      <c r="A14" s="114" t="s">
        <v>31</v>
      </c>
      <c r="B14" s="115">
        <f t="shared" ref="B14:C14" ca="1" si="5">SUM(S:S)</f>
        <v>469</v>
      </c>
      <c r="C14" s="116">
        <f t="shared" ca="1" si="5"/>
        <v>777</v>
      </c>
    </row>
    <row r="15" spans="1:67" ht="12.75">
      <c r="A15" s="117" t="s">
        <v>32</v>
      </c>
      <c r="B15" s="118">
        <f t="shared" ref="B15:C15" ca="1" si="6">SUM(B6:B14)</f>
        <v>655</v>
      </c>
      <c r="C15" s="119">
        <f t="shared" ca="1" si="6"/>
        <v>963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97</v>
      </c>
      <c r="C17" s="116">
        <f t="shared" ca="1" si="7"/>
        <v>96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15</v>
      </c>
      <c r="C20" s="116">
        <f t="shared" ca="1" si="10"/>
        <v>18</v>
      </c>
    </row>
    <row r="21" spans="1:3" ht="12.75">
      <c r="A21" s="114" t="s">
        <v>38</v>
      </c>
      <c r="B21" s="115">
        <f t="shared" ref="B21:C21" ca="1" si="11">SUM(AC:AC)</f>
        <v>508</v>
      </c>
      <c r="C21" s="116">
        <f t="shared" ca="1" si="11"/>
        <v>530</v>
      </c>
    </row>
    <row r="22" spans="1:3" ht="12.75">
      <c r="A22" s="114" t="s">
        <v>39</v>
      </c>
      <c r="B22" s="115">
        <f t="shared" ref="B22:C22" ca="1" si="12">SUM(AE:AE)</f>
        <v>870</v>
      </c>
      <c r="C22" s="116">
        <f t="shared" ca="1" si="12"/>
        <v>866</v>
      </c>
    </row>
    <row r="23" spans="1:3" ht="12.75">
      <c r="A23" s="114" t="s">
        <v>40</v>
      </c>
      <c r="B23" s="115">
        <f t="shared" ref="B23:C23" ca="1" si="13">SUM(AG:AG)</f>
        <v>2364</v>
      </c>
      <c r="C23" s="116">
        <f t="shared" ca="1" si="13"/>
        <v>2349</v>
      </c>
    </row>
    <row r="24" spans="1:3" ht="12.75">
      <c r="A24" s="117" t="s">
        <v>32</v>
      </c>
      <c r="B24" s="118">
        <f t="shared" ref="B24:C24" ca="1" si="14">SUM(B17:B23)</f>
        <v>3854</v>
      </c>
      <c r="C24" s="119">
        <f t="shared" ca="1" si="14"/>
        <v>3859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1</v>
      </c>
      <c r="C26" s="116">
        <f t="shared" ca="1" si="15"/>
        <v>1</v>
      </c>
    </row>
    <row r="27" spans="1:3" ht="12.75">
      <c r="A27" s="114" t="s">
        <v>43</v>
      </c>
      <c r="B27" s="115">
        <f t="shared" ref="B27:C27" ca="1" si="16">SUM(AK:AK)</f>
        <v>5</v>
      </c>
      <c r="C27" s="116">
        <f t="shared" ca="1" si="16"/>
        <v>5</v>
      </c>
    </row>
    <row r="28" spans="1:3" ht="12.75">
      <c r="A28" s="114" t="s">
        <v>44</v>
      </c>
      <c r="B28" s="115">
        <f t="shared" ref="B28:C28" ca="1" si="17">SUM(AM:AM)</f>
        <v>87</v>
      </c>
      <c r="C28" s="116">
        <f t="shared" ca="1" si="17"/>
        <v>87</v>
      </c>
    </row>
    <row r="29" spans="1:3" ht="12.75">
      <c r="A29" s="117" t="s">
        <v>32</v>
      </c>
      <c r="B29" s="118">
        <f t="shared" ref="B29:C29" ca="1" si="18">SUM(B26:B28)</f>
        <v>93</v>
      </c>
      <c r="C29" s="119">
        <f t="shared" ca="1" si="18"/>
        <v>93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1</v>
      </c>
      <c r="C31" s="116">
        <f t="shared" ca="1" si="19"/>
        <v>1</v>
      </c>
    </row>
    <row r="32" spans="1:3" ht="12.75">
      <c r="A32" s="114" t="s">
        <v>47</v>
      </c>
      <c r="B32" s="115">
        <f t="shared" ref="B32:C32" ca="1" si="20">SUM(AQ:AQ)</f>
        <v>239</v>
      </c>
      <c r="C32" s="116">
        <f t="shared" ca="1" si="20"/>
        <v>234</v>
      </c>
    </row>
    <row r="33" spans="1:67" ht="12.75">
      <c r="A33" s="114" t="s">
        <v>48</v>
      </c>
      <c r="B33" s="115">
        <f t="shared" ref="B33:C33" ca="1" si="21">SUM(AS:AS)</f>
        <v>10</v>
      </c>
      <c r="C33" s="116">
        <f t="shared" ca="1" si="21"/>
        <v>10</v>
      </c>
    </row>
    <row r="34" spans="1:67" ht="12.75">
      <c r="A34" s="114" t="s">
        <v>49</v>
      </c>
      <c r="B34" s="115">
        <f t="shared" ref="B34:C34" ca="1" si="22">SUM(AU:AU)</f>
        <v>1</v>
      </c>
      <c r="C34" s="116">
        <f t="shared" ca="1" si="22"/>
        <v>1</v>
      </c>
    </row>
    <row r="35" spans="1:67" ht="12.75">
      <c r="A35" s="114" t="s">
        <v>50</v>
      </c>
      <c r="B35" s="115">
        <f t="shared" ref="B35:C35" ca="1" si="23">SUM(AW:AW)</f>
        <v>31</v>
      </c>
      <c r="C35" s="116">
        <f t="shared" ca="1" si="23"/>
        <v>31</v>
      </c>
    </row>
    <row r="36" spans="1:67" ht="12.75">
      <c r="A36" s="117" t="s">
        <v>32</v>
      </c>
      <c r="B36" s="118">
        <f t="shared" ref="B36:C36" ca="1" si="24">SUM(B31:B35)</f>
        <v>282</v>
      </c>
      <c r="C36" s="119">
        <f t="shared" ca="1" si="24"/>
        <v>277</v>
      </c>
    </row>
    <row r="37" spans="1:67" ht="12.75">
      <c r="A37" s="122" t="s">
        <v>51</v>
      </c>
      <c r="B37" s="123">
        <f t="shared" ref="B37:C37" ca="1" si="25">SUM(AY:AY)</f>
        <v>8</v>
      </c>
      <c r="C37" s="124">
        <f t="shared" ca="1" si="25"/>
        <v>4</v>
      </c>
    </row>
    <row r="38" spans="1:67" ht="12.75">
      <c r="A38" s="125" t="s">
        <v>52</v>
      </c>
      <c r="B38" s="123">
        <f t="shared" ref="B38:C38" ca="1" si="26">SUM(BA:BA)</f>
        <v>578</v>
      </c>
      <c r="C38" s="124">
        <f t="shared" ca="1" si="26"/>
        <v>570</v>
      </c>
    </row>
    <row r="39" spans="1:67" ht="15">
      <c r="A39" s="126" t="s">
        <v>20</v>
      </c>
      <c r="B39" s="127">
        <f t="shared" ref="B39:C39" ca="1" si="27">SUM(B15,B24,B29,B36,B37,B38)</f>
        <v>5470</v>
      </c>
      <c r="C39" s="128">
        <f t="shared" ca="1" si="27"/>
        <v>5766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/>
      <c r="C2" s="102" t="s">
        <v>72</v>
      </c>
      <c r="D2" s="103" t="str">
        <f ca="1">IFERROR(__xludf.DUMMYFUNCTION("QUERY('Form Responses 1'!A:BE,""select * where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14</v>
      </c>
      <c r="B3" s="105" t="s">
        <v>73</v>
      </c>
      <c r="C3" s="106" t="s">
        <v>73</v>
      </c>
      <c r="D3" s="107">
        <f ca="1">IFERROR(__xludf.DUMMYFUNCTION("""COMPUTED_VALUE"""),44463.75)</f>
        <v>44463.75</v>
      </c>
      <c r="E3" s="103" t="str">
        <f ca="1">IFERROR(__xludf.DUMMYFUNCTION("""COMPUTED_VALUE"""),"p5@rtp.com")</f>
        <v>p5@rtp.com</v>
      </c>
      <c r="F3" s="108" t="str">
        <f ca="1">IFERROR(__xludf.DUMMYFUNCTION("""COMPUTED_VALUE"""),"rtp2021")</f>
        <v>rtp2021</v>
      </c>
      <c r="G3" s="103"/>
      <c r="H3" s="108" t="str">
        <f ca="1">IFERROR(__xludf.DUMMYFUNCTION("""COMPUTED_VALUE"""),"ภ.5")</f>
        <v>ภ.5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>
        <f ca="1">IFERROR(__xludf.DUMMYFUNCTION("""COMPUTED_VALUE"""),11)</f>
        <v>11</v>
      </c>
      <c r="V3" s="108">
        <f ca="1">IFERROR(__xludf.DUMMYFUNCTION("""COMPUTED_VALUE"""),3)</f>
        <v>3</v>
      </c>
      <c r="W3" s="108"/>
      <c r="X3" s="108"/>
      <c r="Y3" s="108"/>
      <c r="Z3" s="108"/>
      <c r="AA3" s="108">
        <f ca="1">IFERROR(__xludf.DUMMYFUNCTION("""COMPUTED_VALUE"""),4)</f>
        <v>4</v>
      </c>
      <c r="AB3" s="108">
        <f ca="1">IFERROR(__xludf.DUMMYFUNCTION("""COMPUTED_VALUE"""),3)</f>
        <v>3</v>
      </c>
      <c r="AC3" s="108">
        <f ca="1">IFERROR(__xludf.DUMMYFUNCTION("""COMPUTED_VALUE"""),11)</f>
        <v>11</v>
      </c>
      <c r="AD3" s="108">
        <f ca="1">IFERROR(__xludf.DUMMYFUNCTION("""COMPUTED_VALUE"""),9)</f>
        <v>9</v>
      </c>
      <c r="AE3" s="108">
        <f ca="1">IFERROR(__xludf.DUMMYFUNCTION("""COMPUTED_VALUE"""),4)</f>
        <v>4</v>
      </c>
      <c r="AF3" s="108">
        <f ca="1">IFERROR(__xludf.DUMMYFUNCTION("""COMPUTED_VALUE"""),4)</f>
        <v>4</v>
      </c>
      <c r="AG3" s="108">
        <f ca="1">IFERROR(__xludf.DUMMYFUNCTION("""COMPUTED_VALUE"""),15)</f>
        <v>15</v>
      </c>
      <c r="AH3" s="108">
        <f ca="1">IFERROR(__xludf.DUMMYFUNCTION("""COMPUTED_VALUE"""),15)</f>
        <v>15</v>
      </c>
      <c r="AI3" s="108"/>
      <c r="AJ3" s="108"/>
      <c r="AK3" s="108"/>
      <c r="AL3" s="108"/>
      <c r="AM3" s="108"/>
      <c r="AN3" s="108"/>
      <c r="AO3" s="108"/>
      <c r="AP3" s="108"/>
      <c r="AQ3" s="108">
        <f ca="1">IFERROR(__xludf.DUMMYFUNCTION("""COMPUTED_VALUE"""),2)</f>
        <v>2</v>
      </c>
      <c r="AR3" s="108">
        <f ca="1">IFERROR(__xludf.DUMMYFUNCTION("""COMPUTED_VALUE"""),2)</f>
        <v>2</v>
      </c>
      <c r="AS3" s="108"/>
      <c r="AT3" s="108"/>
      <c r="AU3" s="108"/>
      <c r="AV3" s="108"/>
      <c r="AW3" s="108"/>
      <c r="AX3" s="108"/>
      <c r="AY3" s="108"/>
      <c r="AZ3" s="108"/>
      <c r="BA3" s="108">
        <f ca="1">IFERROR(__xludf.DUMMYFUNCTION("""COMPUTED_VALUE"""),8)</f>
        <v>8</v>
      </c>
      <c r="BB3" s="108">
        <f ca="1">IFERROR(__xludf.DUMMYFUNCTION("""COMPUTED_VALUE"""),8)</f>
        <v>8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  <c r="D4" s="107">
        <f ca="1">IFERROR(__xludf.DUMMYFUNCTION("""COMPUTED_VALUE"""),44464.3255337152)</f>
        <v>44464.3255337152</v>
      </c>
      <c r="E4" s="103" t="str">
        <f ca="1">IFERROR(__xludf.DUMMYFUNCTION("""COMPUTED_VALUE"""),"p5@rtp.com")</f>
        <v>p5@rtp.com</v>
      </c>
      <c r="F4" s="103" t="str">
        <f ca="1">IFERROR(__xludf.DUMMYFUNCTION("""COMPUTED_VALUE"""),"rtp2021")</f>
        <v>rtp2021</v>
      </c>
      <c r="G4" s="103"/>
      <c r="H4" s="103" t="str">
        <f ca="1">IFERROR(__xludf.DUMMYFUNCTION("""COMPUTED_VALUE"""),"ภ.5")</f>
        <v>ภ.5</v>
      </c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>
        <f ca="1">IFERROR(__xludf.DUMMYFUNCTION("""COMPUTED_VALUE"""),14)</f>
        <v>14</v>
      </c>
      <c r="V4" s="103">
        <f ca="1">IFERROR(__xludf.DUMMYFUNCTION("""COMPUTED_VALUE"""),8)</f>
        <v>8</v>
      </c>
      <c r="W4" s="103"/>
      <c r="X4" s="103"/>
      <c r="Y4" s="103"/>
      <c r="Z4" s="103"/>
      <c r="AA4" s="103">
        <f ca="1">IFERROR(__xludf.DUMMYFUNCTION("""COMPUTED_VALUE"""),4)</f>
        <v>4</v>
      </c>
      <c r="AB4" s="103">
        <f ca="1">IFERROR(__xludf.DUMMYFUNCTION("""COMPUTED_VALUE"""),4)</f>
        <v>4</v>
      </c>
      <c r="AC4" s="103">
        <f ca="1">IFERROR(__xludf.DUMMYFUNCTION("""COMPUTED_VALUE"""),7)</f>
        <v>7</v>
      </c>
      <c r="AD4" s="103">
        <f ca="1">IFERROR(__xludf.DUMMYFUNCTION("""COMPUTED_VALUE"""),7)</f>
        <v>7</v>
      </c>
      <c r="AE4" s="103">
        <f ca="1">IFERROR(__xludf.DUMMYFUNCTION("""COMPUTED_VALUE"""),7)</f>
        <v>7</v>
      </c>
      <c r="AF4" s="103">
        <f ca="1">IFERROR(__xludf.DUMMYFUNCTION("""COMPUTED_VALUE"""),5)</f>
        <v>5</v>
      </c>
      <c r="AG4" s="103">
        <f ca="1">IFERROR(__xludf.DUMMYFUNCTION("""COMPUTED_VALUE"""),32)</f>
        <v>32</v>
      </c>
      <c r="AH4" s="103">
        <f ca="1">IFERROR(__xludf.DUMMYFUNCTION("""COMPUTED_VALUE"""),32)</f>
        <v>32</v>
      </c>
      <c r="AI4" s="103"/>
      <c r="AJ4" s="103"/>
      <c r="AK4" s="103"/>
      <c r="AL4" s="103"/>
      <c r="AM4" s="103">
        <f ca="1">IFERROR(__xludf.DUMMYFUNCTION("""COMPUTED_VALUE"""),3)</f>
        <v>3</v>
      </c>
      <c r="AN4" s="103">
        <f ca="1">IFERROR(__xludf.DUMMYFUNCTION("""COMPUTED_VALUE"""),3)</f>
        <v>3</v>
      </c>
      <c r="AO4" s="103"/>
      <c r="AP4" s="103"/>
      <c r="AQ4" s="103">
        <f ca="1">IFERROR(__xludf.DUMMYFUNCTION("""COMPUTED_VALUE"""),4)</f>
        <v>4</v>
      </c>
      <c r="AR4" s="103">
        <f ca="1">IFERROR(__xludf.DUMMYFUNCTION("""COMPUTED_VALUE"""),3)</f>
        <v>3</v>
      </c>
      <c r="AS4" s="103"/>
      <c r="AT4" s="103"/>
      <c r="AU4" s="103"/>
      <c r="AV4" s="103"/>
      <c r="AW4" s="103">
        <f ca="1">IFERROR(__xludf.DUMMYFUNCTION("""COMPUTED_VALUE"""),3)</f>
        <v>3</v>
      </c>
      <c r="AX4" s="103">
        <f ca="1">IFERROR(__xludf.DUMMYFUNCTION("""COMPUTED_VALUE"""),2)</f>
        <v>2</v>
      </c>
      <c r="AY4" s="103"/>
      <c r="AZ4" s="103"/>
      <c r="BA4" s="103">
        <f ca="1">IFERROR(__xludf.DUMMYFUNCTION("""COMPUTED_VALUE"""),10)</f>
        <v>10</v>
      </c>
      <c r="BB4" s="103">
        <f ca="1">IFERROR(__xludf.DUMMYFUNCTION("""COMPUTED_VALUE"""),10)</f>
        <v>10</v>
      </c>
      <c r="BC4" s="103"/>
      <c r="BD4" s="103"/>
      <c r="BE4" s="103"/>
      <c r="BF4" s="103"/>
      <c r="BG4" s="103"/>
      <c r="BH4" s="103"/>
    </row>
    <row r="5" spans="1:67" ht="12.75">
      <c r="A5" s="638"/>
      <c r="B5" s="109" t="s">
        <v>21</v>
      </c>
      <c r="C5" s="110" t="s">
        <v>22</v>
      </c>
      <c r="D5" s="107">
        <f ca="1">IFERROR(__xludf.DUMMYFUNCTION("""COMPUTED_VALUE"""),44465.3073046064)</f>
        <v>44465.307304606402</v>
      </c>
      <c r="E5" s="103" t="str">
        <f ca="1">IFERROR(__xludf.DUMMYFUNCTION("""COMPUTED_VALUE"""),"p5@rtp.com")</f>
        <v>p5@rtp.com</v>
      </c>
      <c r="F5" s="103" t="str">
        <f ca="1">IFERROR(__xludf.DUMMYFUNCTION("""COMPUTED_VALUE"""),"rtp2021")</f>
        <v>rtp2021</v>
      </c>
      <c r="G5" s="103"/>
      <c r="H5" s="103" t="str">
        <f ca="1">IFERROR(__xludf.DUMMYFUNCTION("""COMPUTED_VALUE"""),"ภ.5")</f>
        <v>ภ.5</v>
      </c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>
        <f ca="1">IFERROR(__xludf.DUMMYFUNCTION("""COMPUTED_VALUE"""),2)</f>
        <v>2</v>
      </c>
      <c r="T5" s="103">
        <f ca="1">IFERROR(__xludf.DUMMYFUNCTION("""COMPUTED_VALUE"""),11)</f>
        <v>11</v>
      </c>
      <c r="U5" s="103">
        <f ca="1">IFERROR(__xludf.DUMMYFUNCTION("""COMPUTED_VALUE"""),3)</f>
        <v>3</v>
      </c>
      <c r="V5" s="103"/>
      <c r="W5" s="103"/>
      <c r="X5" s="103"/>
      <c r="Y5" s="103"/>
      <c r="Z5" s="103"/>
      <c r="AA5" s="103">
        <f ca="1">IFERROR(__xludf.DUMMYFUNCTION("""COMPUTED_VALUE"""),3)</f>
        <v>3</v>
      </c>
      <c r="AB5" s="103">
        <f ca="1">IFERROR(__xludf.DUMMYFUNCTION("""COMPUTED_VALUE"""),5)</f>
        <v>5</v>
      </c>
      <c r="AC5" s="103">
        <f ca="1">IFERROR(__xludf.DUMMYFUNCTION("""COMPUTED_VALUE"""),11)</f>
        <v>11</v>
      </c>
      <c r="AD5" s="103">
        <f ca="1">IFERROR(__xludf.DUMMYFUNCTION("""COMPUTED_VALUE"""),8)</f>
        <v>8</v>
      </c>
      <c r="AE5" s="103">
        <f ca="1">IFERROR(__xludf.DUMMYFUNCTION("""COMPUTED_VALUE"""),3)</f>
        <v>3</v>
      </c>
      <c r="AF5" s="103">
        <f ca="1">IFERROR(__xludf.DUMMYFUNCTION("""COMPUTED_VALUE"""),2)</f>
        <v>2</v>
      </c>
      <c r="AG5" s="103">
        <f ca="1">IFERROR(__xludf.DUMMYFUNCTION("""COMPUTED_VALUE"""),25)</f>
        <v>25</v>
      </c>
      <c r="AH5" s="103">
        <f ca="1">IFERROR(__xludf.DUMMYFUNCTION("""COMPUTED_VALUE"""),25)</f>
        <v>25</v>
      </c>
      <c r="AI5" s="103"/>
      <c r="AJ5" s="103"/>
      <c r="AK5" s="103">
        <f ca="1">IFERROR(__xludf.DUMMYFUNCTION("""COMPUTED_VALUE"""),1)</f>
        <v>1</v>
      </c>
      <c r="AL5" s="103">
        <f ca="1">IFERROR(__xludf.DUMMYFUNCTION("""COMPUTED_VALUE"""),1)</f>
        <v>1</v>
      </c>
      <c r="AM5" s="103">
        <f ca="1">IFERROR(__xludf.DUMMYFUNCTION("""COMPUTED_VALUE"""),20)</f>
        <v>20</v>
      </c>
      <c r="AN5" s="103">
        <f ca="1">IFERROR(__xludf.DUMMYFUNCTION("""COMPUTED_VALUE"""),20)</f>
        <v>20</v>
      </c>
      <c r="AO5" s="103"/>
      <c r="AP5" s="103"/>
      <c r="AQ5" s="103">
        <f ca="1">IFERROR(__xludf.DUMMYFUNCTION("""COMPUTED_VALUE"""),3)</f>
        <v>3</v>
      </c>
      <c r="AR5" s="103">
        <f ca="1">IFERROR(__xludf.DUMMYFUNCTION("""COMPUTED_VALUE"""),3)</f>
        <v>3</v>
      </c>
      <c r="AS5" s="103"/>
      <c r="AT5" s="103"/>
      <c r="AU5" s="103"/>
      <c r="AV5" s="103"/>
      <c r="AW5" s="103"/>
      <c r="AX5" s="103"/>
      <c r="AY5" s="103"/>
      <c r="AZ5" s="103"/>
      <c r="BA5" s="103">
        <f ca="1">IFERROR(__xludf.DUMMYFUNCTION("""COMPUTED_VALUE"""),31)</f>
        <v>31</v>
      </c>
      <c r="BB5" s="103">
        <f ca="1">IFERROR(__xludf.DUMMYFUNCTION("""COMPUTED_VALUE"""),28)</f>
        <v>28</v>
      </c>
      <c r="BC5" s="103"/>
      <c r="BD5" s="103"/>
      <c r="BE5" s="103"/>
      <c r="BF5" s="103"/>
      <c r="BG5" s="103"/>
      <c r="BH5" s="103"/>
    </row>
    <row r="6" spans="1:67" ht="12.75">
      <c r="A6" s="111" t="s">
        <v>23</v>
      </c>
      <c r="B6" s="112"/>
      <c r="C6" s="113"/>
      <c r="D6" s="107">
        <f ca="1">IFERROR(__xludf.DUMMYFUNCTION("""COMPUTED_VALUE"""),44466.295643206)</f>
        <v>44466.295643206002</v>
      </c>
      <c r="E6" s="103" t="str">
        <f ca="1">IFERROR(__xludf.DUMMYFUNCTION("""COMPUTED_VALUE"""),"p5@rtp.com")</f>
        <v>p5@rtp.com</v>
      </c>
      <c r="F6" s="103" t="str">
        <f ca="1">IFERROR(__xludf.DUMMYFUNCTION("""COMPUTED_VALUE"""),"rtp2021")</f>
        <v>rtp2021</v>
      </c>
      <c r="G6" s="103"/>
      <c r="H6" s="103" t="str">
        <f ca="1">IFERROR(__xludf.DUMMYFUNCTION("""COMPUTED_VALUE"""),"ภ.5")</f>
        <v>ภ.5</v>
      </c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>
        <f ca="1">IFERROR(__xludf.DUMMYFUNCTION("""COMPUTED_VALUE"""),2)</f>
        <v>2</v>
      </c>
      <c r="T6" s="103">
        <f ca="1">IFERROR(__xludf.DUMMYFUNCTION("""COMPUTED_VALUE"""),3)</f>
        <v>3</v>
      </c>
      <c r="U6" s="103">
        <f ca="1">IFERROR(__xludf.DUMMYFUNCTION("""COMPUTED_VALUE"""),3)</f>
        <v>3</v>
      </c>
      <c r="V6" s="103"/>
      <c r="W6" s="103"/>
      <c r="X6" s="103"/>
      <c r="Y6" s="103"/>
      <c r="Z6" s="103"/>
      <c r="AA6" s="103">
        <f ca="1">IFERROR(__xludf.DUMMYFUNCTION("""COMPUTED_VALUE"""),2)</f>
        <v>2</v>
      </c>
      <c r="AB6" s="103">
        <f ca="1">IFERROR(__xludf.DUMMYFUNCTION("""COMPUTED_VALUE"""),2)</f>
        <v>2</v>
      </c>
      <c r="AC6" s="103">
        <f ca="1">IFERROR(__xludf.DUMMYFUNCTION("""COMPUTED_VALUE"""),5)</f>
        <v>5</v>
      </c>
      <c r="AD6" s="103">
        <f ca="1">IFERROR(__xludf.DUMMYFUNCTION("""COMPUTED_VALUE"""),7)</f>
        <v>7</v>
      </c>
      <c r="AE6" s="103">
        <f ca="1">IFERROR(__xludf.DUMMYFUNCTION("""COMPUTED_VALUE"""),3)</f>
        <v>3</v>
      </c>
      <c r="AF6" s="103">
        <f ca="1">IFERROR(__xludf.DUMMYFUNCTION("""COMPUTED_VALUE"""),3)</f>
        <v>3</v>
      </c>
      <c r="AG6" s="103">
        <f ca="1">IFERROR(__xludf.DUMMYFUNCTION("""COMPUTED_VALUE"""),10)</f>
        <v>10</v>
      </c>
      <c r="AH6" s="103">
        <f ca="1">IFERROR(__xludf.DUMMYFUNCTION("""COMPUTED_VALUE"""),10)</f>
        <v>10</v>
      </c>
      <c r="AI6" s="103">
        <f ca="1">IFERROR(__xludf.DUMMYFUNCTION("""COMPUTED_VALUE"""),1)</f>
        <v>1</v>
      </c>
      <c r="AJ6" s="103">
        <f ca="1">IFERROR(__xludf.DUMMYFUNCTION("""COMPUTED_VALUE"""),2)</f>
        <v>2</v>
      </c>
      <c r="AK6" s="103"/>
      <c r="AL6" s="103"/>
      <c r="AM6" s="103">
        <f ca="1">IFERROR(__xludf.DUMMYFUNCTION("""COMPUTED_VALUE"""),10)</f>
        <v>10</v>
      </c>
      <c r="AN6" s="103">
        <f ca="1">IFERROR(__xludf.DUMMYFUNCTION("""COMPUTED_VALUE"""),10)</f>
        <v>10</v>
      </c>
      <c r="AO6" s="103"/>
      <c r="AP6" s="103"/>
      <c r="AQ6" s="103">
        <f ca="1">IFERROR(__xludf.DUMMYFUNCTION("""COMPUTED_VALUE"""),6)</f>
        <v>6</v>
      </c>
      <c r="AR6" s="103">
        <f ca="1">IFERROR(__xludf.DUMMYFUNCTION("""COMPUTED_VALUE"""),6)</f>
        <v>6</v>
      </c>
      <c r="AS6" s="103"/>
      <c r="AT6" s="103"/>
      <c r="AU6" s="103"/>
      <c r="AV6" s="103"/>
      <c r="AW6" s="103">
        <f ca="1">IFERROR(__xludf.DUMMYFUNCTION("""COMPUTED_VALUE"""),1)</f>
        <v>1</v>
      </c>
      <c r="AX6" s="103">
        <f ca="1">IFERROR(__xludf.DUMMYFUNCTION("""COMPUTED_VALUE"""),1)</f>
        <v>1</v>
      </c>
      <c r="AY6" s="103"/>
      <c r="AZ6" s="103"/>
      <c r="BA6" s="103">
        <f ca="1">IFERROR(__xludf.DUMMYFUNCTION("""COMPUTED_VALUE"""),39)</f>
        <v>39</v>
      </c>
      <c r="BB6" s="103">
        <f ca="1">IFERROR(__xludf.DUMMYFUNCTION("""COMPUTED_VALUE"""),37)</f>
        <v>37</v>
      </c>
      <c r="BC6" s="103"/>
      <c r="BD6" s="103"/>
      <c r="BE6" s="103"/>
      <c r="BF6" s="103"/>
      <c r="BG6" s="103"/>
      <c r="BH6" s="10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  <c r="D7" s="107">
        <f ca="1">IFERROR(__xludf.DUMMYFUNCTION("""COMPUTED_VALUE"""),44467.3152794097)</f>
        <v>44467.315279409697</v>
      </c>
      <c r="E7" s="103" t="str">
        <f ca="1">IFERROR(__xludf.DUMMYFUNCTION("""COMPUTED_VALUE"""),"p5@rtp.com")</f>
        <v>p5@rtp.com</v>
      </c>
      <c r="F7" s="103" t="str">
        <f ca="1">IFERROR(__xludf.DUMMYFUNCTION("""COMPUTED_VALUE"""),"rtp2021")</f>
        <v>rtp2021</v>
      </c>
      <c r="G7" s="103"/>
      <c r="H7" s="103" t="str">
        <f ca="1">IFERROR(__xludf.DUMMYFUNCTION("""COMPUTED_VALUE"""),"ภ.5")</f>
        <v>ภ.5</v>
      </c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>
        <f ca="1">IFERROR(__xludf.DUMMYFUNCTION("""COMPUTED_VALUE"""),14)</f>
        <v>14</v>
      </c>
      <c r="V7" s="103"/>
      <c r="W7" s="103"/>
      <c r="X7" s="103"/>
      <c r="Y7" s="103"/>
      <c r="Z7" s="103"/>
      <c r="AA7" s="103">
        <f ca="1">IFERROR(__xludf.DUMMYFUNCTION("""COMPUTED_VALUE"""),1)</f>
        <v>1</v>
      </c>
      <c r="AB7" s="103">
        <f ca="1">IFERROR(__xludf.DUMMYFUNCTION("""COMPUTED_VALUE"""),1)</f>
        <v>1</v>
      </c>
      <c r="AC7" s="103">
        <f ca="1">IFERROR(__xludf.DUMMYFUNCTION("""COMPUTED_VALUE"""),13)</f>
        <v>13</v>
      </c>
      <c r="AD7" s="103">
        <f ca="1">IFERROR(__xludf.DUMMYFUNCTION("""COMPUTED_VALUE"""),6)</f>
        <v>6</v>
      </c>
      <c r="AE7" s="103">
        <f ca="1">IFERROR(__xludf.DUMMYFUNCTION("""COMPUTED_VALUE"""),13)</f>
        <v>13</v>
      </c>
      <c r="AF7" s="103">
        <f ca="1">IFERROR(__xludf.DUMMYFUNCTION("""COMPUTED_VALUE"""),13)</f>
        <v>13</v>
      </c>
      <c r="AG7" s="103">
        <f ca="1">IFERROR(__xludf.DUMMYFUNCTION("""COMPUTED_VALUE"""),57)</f>
        <v>57</v>
      </c>
      <c r="AH7" s="103">
        <f ca="1">IFERROR(__xludf.DUMMYFUNCTION("""COMPUTED_VALUE"""),57)</f>
        <v>57</v>
      </c>
      <c r="AI7" s="103"/>
      <c r="AJ7" s="103"/>
      <c r="AK7" s="103"/>
      <c r="AL7" s="103"/>
      <c r="AM7" s="103">
        <f ca="1">IFERROR(__xludf.DUMMYFUNCTION("""COMPUTED_VALUE"""),9)</f>
        <v>9</v>
      </c>
      <c r="AN7" s="103">
        <f ca="1">IFERROR(__xludf.DUMMYFUNCTION("""COMPUTED_VALUE"""),9)</f>
        <v>9</v>
      </c>
      <c r="AO7" s="103"/>
      <c r="AP7" s="103"/>
      <c r="AQ7" s="103">
        <f ca="1">IFERROR(__xludf.DUMMYFUNCTION("""COMPUTED_VALUE"""),7)</f>
        <v>7</v>
      </c>
      <c r="AR7" s="103">
        <f ca="1">IFERROR(__xludf.DUMMYFUNCTION("""COMPUTED_VALUE"""),6)</f>
        <v>6</v>
      </c>
      <c r="AS7" s="103"/>
      <c r="AT7" s="103"/>
      <c r="AU7" s="103"/>
      <c r="AV7" s="103"/>
      <c r="AW7" s="103">
        <f ca="1">IFERROR(__xludf.DUMMYFUNCTION("""COMPUTED_VALUE"""),8)</f>
        <v>8</v>
      </c>
      <c r="AX7" s="103">
        <f ca="1">IFERROR(__xludf.DUMMYFUNCTION("""COMPUTED_VALUE"""),1)</f>
        <v>1</v>
      </c>
      <c r="AY7" s="103"/>
      <c r="AZ7" s="103"/>
      <c r="BA7" s="103">
        <f ca="1">IFERROR(__xludf.DUMMYFUNCTION("""COMPUTED_VALUE"""),196)</f>
        <v>196</v>
      </c>
      <c r="BB7" s="103">
        <f ca="1">IFERROR(__xludf.DUMMYFUNCTION("""COMPUTED_VALUE"""),194)</f>
        <v>194</v>
      </c>
      <c r="BC7" s="103"/>
      <c r="BD7" s="103"/>
      <c r="BE7" s="103"/>
      <c r="BF7" s="103"/>
      <c r="BG7" s="103"/>
      <c r="BH7" s="103"/>
    </row>
    <row r="8" spans="1:67" ht="12.75">
      <c r="A8" s="114" t="s">
        <v>25</v>
      </c>
      <c r="B8" s="115"/>
      <c r="C8" s="116"/>
      <c r="D8" s="107">
        <f ca="1">IFERROR(__xludf.DUMMYFUNCTION("""COMPUTED_VALUE"""),44468.2998704398)</f>
        <v>44468.299870439798</v>
      </c>
      <c r="E8" s="103" t="str">
        <f ca="1">IFERROR(__xludf.DUMMYFUNCTION("""COMPUTED_VALUE"""),"p5@rtp.com")</f>
        <v>p5@rtp.com</v>
      </c>
      <c r="F8" s="103" t="str">
        <f ca="1">IFERROR(__xludf.DUMMYFUNCTION("""COMPUTED_VALUE"""),"rtp2021")</f>
        <v>rtp2021</v>
      </c>
      <c r="G8" s="103"/>
      <c r="H8" s="103" t="str">
        <f ca="1">IFERROR(__xludf.DUMMYFUNCTION("""COMPUTED_VALUE"""),"ภ.5")</f>
        <v>ภ.5</v>
      </c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>
        <f ca="1">IFERROR(__xludf.DUMMYFUNCTION("""COMPUTED_VALUE"""),2)</f>
        <v>2</v>
      </c>
      <c r="T8" s="103">
        <f ca="1">IFERROR(__xludf.DUMMYFUNCTION("""COMPUTED_VALUE"""),10)</f>
        <v>10</v>
      </c>
      <c r="U8" s="103">
        <f ca="1">IFERROR(__xludf.DUMMYFUNCTION("""COMPUTED_VALUE"""),14)</f>
        <v>14</v>
      </c>
      <c r="V8" s="103">
        <f ca="1">IFERROR(__xludf.DUMMYFUNCTION("""COMPUTED_VALUE"""),2)</f>
        <v>2</v>
      </c>
      <c r="W8" s="103"/>
      <c r="X8" s="103"/>
      <c r="Y8" s="103"/>
      <c r="Z8" s="103"/>
      <c r="AA8" s="103">
        <f ca="1">IFERROR(__xludf.DUMMYFUNCTION("""COMPUTED_VALUE"""),4)</f>
        <v>4</v>
      </c>
      <c r="AB8" s="103">
        <f ca="1">IFERROR(__xludf.DUMMYFUNCTION("""COMPUTED_VALUE"""),4)</f>
        <v>4</v>
      </c>
      <c r="AC8" s="103">
        <f ca="1">IFERROR(__xludf.DUMMYFUNCTION("""COMPUTED_VALUE"""),15)</f>
        <v>15</v>
      </c>
      <c r="AD8" s="103">
        <f ca="1">IFERROR(__xludf.DUMMYFUNCTION("""COMPUTED_VALUE"""),8)</f>
        <v>8</v>
      </c>
      <c r="AE8" s="103">
        <f ca="1">IFERROR(__xludf.DUMMYFUNCTION("""COMPUTED_VALUE"""),6)</f>
        <v>6</v>
      </c>
      <c r="AF8" s="103">
        <f ca="1">IFERROR(__xludf.DUMMYFUNCTION("""COMPUTED_VALUE"""),4)</f>
        <v>4</v>
      </c>
      <c r="AG8" s="103">
        <f ca="1">IFERROR(__xludf.DUMMYFUNCTION("""COMPUTED_VALUE"""),33)</f>
        <v>33</v>
      </c>
      <c r="AH8" s="103">
        <f ca="1">IFERROR(__xludf.DUMMYFUNCTION("""COMPUTED_VALUE"""),33)</f>
        <v>33</v>
      </c>
      <c r="AI8" s="103"/>
      <c r="AJ8" s="103"/>
      <c r="AK8" s="103"/>
      <c r="AL8" s="103"/>
      <c r="AM8" s="103"/>
      <c r="AN8" s="103"/>
      <c r="AO8" s="103"/>
      <c r="AP8" s="103"/>
      <c r="AQ8" s="103">
        <f ca="1">IFERROR(__xludf.DUMMYFUNCTION("""COMPUTED_VALUE"""),3)</f>
        <v>3</v>
      </c>
      <c r="AR8" s="103">
        <f ca="1">IFERROR(__xludf.DUMMYFUNCTION("""COMPUTED_VALUE"""),2)</f>
        <v>2</v>
      </c>
      <c r="AS8" s="103"/>
      <c r="AT8" s="103"/>
      <c r="AU8" s="103"/>
      <c r="AV8" s="103"/>
      <c r="AW8" s="103">
        <f ca="1">IFERROR(__xludf.DUMMYFUNCTION("""COMPUTED_VALUE"""),1)</f>
        <v>1</v>
      </c>
      <c r="AX8" s="103">
        <f ca="1">IFERROR(__xludf.DUMMYFUNCTION("""COMPUTED_VALUE"""),1)</f>
        <v>1</v>
      </c>
      <c r="AY8" s="103"/>
      <c r="AZ8" s="103"/>
      <c r="BA8" s="103">
        <f ca="1">IFERROR(__xludf.DUMMYFUNCTION("""COMPUTED_VALUE"""),153)</f>
        <v>153</v>
      </c>
      <c r="BB8" s="103">
        <f ca="1">IFERROR(__xludf.DUMMYFUNCTION("""COMPUTED_VALUE"""),147)</f>
        <v>147</v>
      </c>
      <c r="BC8" s="103"/>
      <c r="BD8" s="103"/>
      <c r="BE8" s="103"/>
      <c r="BF8" s="103"/>
      <c r="BG8" s="103"/>
      <c r="BH8" s="103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  <c r="D9" s="107">
        <f ca="1">IFERROR(__xludf.DUMMYFUNCTION("""COMPUTED_VALUE"""),44469.2932621526)</f>
        <v>44469.293262152598</v>
      </c>
      <c r="E9" s="103" t="str">
        <f ca="1">IFERROR(__xludf.DUMMYFUNCTION("""COMPUTED_VALUE"""),"p5@rtp.com")</f>
        <v>p5@rtp.com</v>
      </c>
      <c r="F9" s="103" t="str">
        <f ca="1">IFERROR(__xludf.DUMMYFUNCTION("""COMPUTED_VALUE"""),"rtp2021")</f>
        <v>rtp2021</v>
      </c>
      <c r="G9" s="103"/>
      <c r="H9" s="103" t="str">
        <f ca="1">IFERROR(__xludf.DUMMYFUNCTION("""COMPUTED_VALUE"""),"ภ.5")</f>
        <v>ภ.5</v>
      </c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>
        <f ca="1">IFERROR(__xludf.DUMMYFUNCTION("""COMPUTED_VALUE"""),11)</f>
        <v>11</v>
      </c>
      <c r="V9" s="103">
        <f ca="1">IFERROR(__xludf.DUMMYFUNCTION("""COMPUTED_VALUE"""),1)</f>
        <v>1</v>
      </c>
      <c r="W9" s="103"/>
      <c r="X9" s="103"/>
      <c r="Y9" s="103"/>
      <c r="Z9" s="103"/>
      <c r="AA9" s="103">
        <f ca="1">IFERROR(__xludf.DUMMYFUNCTION("""COMPUTED_VALUE"""),1)</f>
        <v>1</v>
      </c>
      <c r="AB9" s="103">
        <f ca="1">IFERROR(__xludf.DUMMYFUNCTION("""COMPUTED_VALUE"""),1)</f>
        <v>1</v>
      </c>
      <c r="AC9" s="103">
        <f ca="1">IFERROR(__xludf.DUMMYFUNCTION("""COMPUTED_VALUE"""),11)</f>
        <v>11</v>
      </c>
      <c r="AD9" s="103">
        <f ca="1">IFERROR(__xludf.DUMMYFUNCTION("""COMPUTED_VALUE"""),7)</f>
        <v>7</v>
      </c>
      <c r="AE9" s="103">
        <f ca="1">IFERROR(__xludf.DUMMYFUNCTION("""COMPUTED_VALUE"""),10)</f>
        <v>10</v>
      </c>
      <c r="AF9" s="103">
        <f ca="1">IFERROR(__xludf.DUMMYFUNCTION("""COMPUTED_VALUE"""),9)</f>
        <v>9</v>
      </c>
      <c r="AG9" s="103">
        <f ca="1">IFERROR(__xludf.DUMMYFUNCTION("""COMPUTED_VALUE"""),38)</f>
        <v>38</v>
      </c>
      <c r="AH9" s="103">
        <f ca="1">IFERROR(__xludf.DUMMYFUNCTION("""COMPUTED_VALUE"""),38)</f>
        <v>38</v>
      </c>
      <c r="AI9" s="103"/>
      <c r="AJ9" s="103"/>
      <c r="AK9" s="103"/>
      <c r="AL9" s="103"/>
      <c r="AM9" s="103">
        <f ca="1">IFERROR(__xludf.DUMMYFUNCTION("""COMPUTED_VALUE"""),3)</f>
        <v>3</v>
      </c>
      <c r="AN9" s="103">
        <f ca="1">IFERROR(__xludf.DUMMYFUNCTION("""COMPUTED_VALUE"""),3)</f>
        <v>3</v>
      </c>
      <c r="AO9" s="103"/>
      <c r="AP9" s="103"/>
      <c r="AQ9" s="103">
        <f ca="1">IFERROR(__xludf.DUMMYFUNCTION("""COMPUTED_VALUE"""),1)</f>
        <v>1</v>
      </c>
      <c r="AR9" s="103">
        <f ca="1">IFERROR(__xludf.DUMMYFUNCTION("""COMPUTED_VALUE"""),1)</f>
        <v>1</v>
      </c>
      <c r="AS9" s="103"/>
      <c r="AT9" s="103"/>
      <c r="AU9" s="103"/>
      <c r="AV9" s="103"/>
      <c r="AW9" s="103">
        <f ca="1">IFERROR(__xludf.DUMMYFUNCTION("""COMPUTED_VALUE"""),3)</f>
        <v>3</v>
      </c>
      <c r="AX9" s="103">
        <f ca="1">IFERROR(__xludf.DUMMYFUNCTION("""COMPUTED_VALUE"""),1)</f>
        <v>1</v>
      </c>
      <c r="AY9" s="103"/>
      <c r="AZ9" s="103"/>
      <c r="BA9" s="103">
        <f ca="1">IFERROR(__xludf.DUMMYFUNCTION("""COMPUTED_VALUE"""),51)</f>
        <v>51</v>
      </c>
      <c r="BB9" s="103">
        <f ca="1">IFERROR(__xludf.DUMMYFUNCTION("""COMPUTED_VALUE"""),50)</f>
        <v>50</v>
      </c>
      <c r="BC9" s="103"/>
      <c r="BD9" s="103"/>
      <c r="BE9" s="103"/>
      <c r="BF9" s="103"/>
      <c r="BG9" s="103"/>
      <c r="BH9" s="103"/>
    </row>
    <row r="10" spans="1:67" ht="12.75">
      <c r="A10" s="114" t="s">
        <v>27</v>
      </c>
      <c r="B10" s="115">
        <f t="shared" ref="B10:C10" ca="1" si="2">SUM(M:M)</f>
        <v>3</v>
      </c>
      <c r="C10" s="116">
        <f t="shared" ca="1" si="2"/>
        <v>3</v>
      </c>
      <c r="D10" s="107">
        <f ca="1">IFERROR(__xludf.DUMMYFUNCTION("""COMPUTED_VALUE"""),44470.3073761689)</f>
        <v>44470.307376168901</v>
      </c>
      <c r="E10" s="103" t="str">
        <f ca="1">IFERROR(__xludf.DUMMYFUNCTION("""COMPUTED_VALUE"""),"p5@rtp.com")</f>
        <v>p5@rtp.com</v>
      </c>
      <c r="F10" s="103" t="str">
        <f ca="1">IFERROR(__xludf.DUMMYFUNCTION("""COMPUTED_VALUE"""),"rtp2021")</f>
        <v>rtp2021</v>
      </c>
      <c r="G10" s="103"/>
      <c r="H10" s="103" t="str">
        <f ca="1">IFERROR(__xludf.DUMMYFUNCTION("""COMPUTED_VALUE"""),"ภ.5")</f>
        <v>ภ.5</v>
      </c>
      <c r="I10" s="103"/>
      <c r="J10" s="103"/>
      <c r="K10" s="103"/>
      <c r="L10" s="103"/>
      <c r="M10" s="103">
        <f ca="1">IFERROR(__xludf.DUMMYFUNCTION("""COMPUTED_VALUE"""),3)</f>
        <v>3</v>
      </c>
      <c r="N10" s="103">
        <f ca="1">IFERROR(__xludf.DUMMYFUNCTION("""COMPUTED_VALUE"""),3)</f>
        <v>3</v>
      </c>
      <c r="O10" s="103"/>
      <c r="P10" s="103"/>
      <c r="Q10" s="103">
        <f ca="1">IFERROR(__xludf.DUMMYFUNCTION("""COMPUTED_VALUE"""),2)</f>
        <v>2</v>
      </c>
      <c r="R10" s="103">
        <f ca="1">IFERROR(__xludf.DUMMYFUNCTION("""COMPUTED_VALUE"""),2)</f>
        <v>2</v>
      </c>
      <c r="S10" s="103">
        <f ca="1">IFERROR(__xludf.DUMMYFUNCTION("""COMPUTED_VALUE"""),1)</f>
        <v>1</v>
      </c>
      <c r="T10" s="103">
        <f ca="1">IFERROR(__xludf.DUMMYFUNCTION("""COMPUTED_VALUE"""),3)</f>
        <v>3</v>
      </c>
      <c r="U10" s="103">
        <f ca="1">IFERROR(__xludf.DUMMYFUNCTION("""COMPUTED_VALUE"""),7)</f>
        <v>7</v>
      </c>
      <c r="V10" s="103"/>
      <c r="W10" s="103"/>
      <c r="X10" s="103"/>
      <c r="Y10" s="103"/>
      <c r="Z10" s="103"/>
      <c r="AA10" s="103">
        <f ca="1">IFERROR(__xludf.DUMMYFUNCTION("""COMPUTED_VALUE"""),1)</f>
        <v>1</v>
      </c>
      <c r="AB10" s="103">
        <f ca="1">IFERROR(__xludf.DUMMYFUNCTION("""COMPUTED_VALUE"""),1)</f>
        <v>1</v>
      </c>
      <c r="AC10" s="103">
        <f ca="1">IFERROR(__xludf.DUMMYFUNCTION("""COMPUTED_VALUE"""),5)</f>
        <v>5</v>
      </c>
      <c r="AD10" s="103">
        <f ca="1">IFERROR(__xludf.DUMMYFUNCTION("""COMPUTED_VALUE"""),2)</f>
        <v>2</v>
      </c>
      <c r="AE10" s="103">
        <f ca="1">IFERROR(__xludf.DUMMYFUNCTION("""COMPUTED_VALUE"""),13)</f>
        <v>13</v>
      </c>
      <c r="AF10" s="103">
        <f ca="1">IFERROR(__xludf.DUMMYFUNCTION("""COMPUTED_VALUE"""),2)</f>
        <v>2</v>
      </c>
      <c r="AG10" s="103">
        <f ca="1">IFERROR(__xludf.DUMMYFUNCTION("""COMPUTED_VALUE"""),17)</f>
        <v>17</v>
      </c>
      <c r="AH10" s="103">
        <f ca="1">IFERROR(__xludf.DUMMYFUNCTION("""COMPUTED_VALUE"""),17)</f>
        <v>17</v>
      </c>
      <c r="AI10" s="103"/>
      <c r="AJ10" s="103"/>
      <c r="AK10" s="103"/>
      <c r="AL10" s="103"/>
      <c r="AM10" s="103">
        <f ca="1">IFERROR(__xludf.DUMMYFUNCTION("""COMPUTED_VALUE"""),6)</f>
        <v>6</v>
      </c>
      <c r="AN10" s="103">
        <f ca="1">IFERROR(__xludf.DUMMYFUNCTION("""COMPUTED_VALUE"""),6)</f>
        <v>6</v>
      </c>
      <c r="AO10" s="103"/>
      <c r="AP10" s="103"/>
      <c r="AQ10" s="103">
        <f ca="1">IFERROR(__xludf.DUMMYFUNCTION("""COMPUTED_VALUE"""),3)</f>
        <v>3</v>
      </c>
      <c r="AR10" s="103"/>
      <c r="AS10" s="103">
        <f ca="1">IFERROR(__xludf.DUMMYFUNCTION("""COMPUTED_VALUE"""),1)</f>
        <v>1</v>
      </c>
      <c r="AT10" s="103">
        <f ca="1">IFERROR(__xludf.DUMMYFUNCTION("""COMPUTED_VALUE"""),1)</f>
        <v>1</v>
      </c>
      <c r="AU10" s="103"/>
      <c r="AV10" s="103"/>
      <c r="AW10" s="103"/>
      <c r="AX10" s="103"/>
      <c r="AY10" s="103"/>
      <c r="AZ10" s="103"/>
      <c r="BA10" s="103">
        <f ca="1">IFERROR(__xludf.DUMMYFUNCTION("""COMPUTED_VALUE"""),75)</f>
        <v>75</v>
      </c>
      <c r="BB10" s="103">
        <f ca="1">IFERROR(__xludf.DUMMYFUNCTION("""COMPUTED_VALUE"""),70)</f>
        <v>70</v>
      </c>
      <c r="BC10" s="103"/>
      <c r="BD10" s="103"/>
      <c r="BE10" s="103"/>
      <c r="BF10" s="103"/>
      <c r="BG10" s="103"/>
      <c r="BH10" s="103"/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0</v>
      </c>
      <c r="C12" s="116">
        <f t="shared" ca="1" si="3"/>
        <v>0</v>
      </c>
    </row>
    <row r="13" spans="1:67" ht="12.75">
      <c r="A13" s="114" t="s">
        <v>30</v>
      </c>
      <c r="B13" s="115">
        <f t="shared" ref="B13:C13" ca="1" si="4">SUM(Q:Q)</f>
        <v>2</v>
      </c>
      <c r="C13" s="116">
        <f t="shared" ca="1" si="4"/>
        <v>2</v>
      </c>
    </row>
    <row r="14" spans="1:67" ht="12.75">
      <c r="A14" s="114" t="s">
        <v>31</v>
      </c>
      <c r="B14" s="115">
        <f t="shared" ref="B14:C14" ca="1" si="5">SUM(S:S)</f>
        <v>7</v>
      </c>
      <c r="C14" s="116">
        <f t="shared" ca="1" si="5"/>
        <v>27</v>
      </c>
    </row>
    <row r="15" spans="1:67" ht="12.75">
      <c r="A15" s="117" t="s">
        <v>32</v>
      </c>
      <c r="B15" s="118">
        <f t="shared" ref="B15:C15" ca="1" si="6">SUM(B6:B14)</f>
        <v>12</v>
      </c>
      <c r="C15" s="119">
        <f t="shared" ca="1" si="6"/>
        <v>32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77</v>
      </c>
      <c r="C17" s="116">
        <f t="shared" ca="1" si="7"/>
        <v>14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20</v>
      </c>
      <c r="C20" s="116">
        <f t="shared" ca="1" si="10"/>
        <v>21</v>
      </c>
    </row>
    <row r="21" spans="1:3" ht="12.75">
      <c r="A21" s="114" t="s">
        <v>38</v>
      </c>
      <c r="B21" s="115">
        <f t="shared" ref="B21:C21" ca="1" si="11">SUM(AC:AC)</f>
        <v>78</v>
      </c>
      <c r="C21" s="116">
        <f t="shared" ca="1" si="11"/>
        <v>54</v>
      </c>
    </row>
    <row r="22" spans="1:3" ht="12.75">
      <c r="A22" s="114" t="s">
        <v>39</v>
      </c>
      <c r="B22" s="115">
        <f t="shared" ref="B22:C22" ca="1" si="12">SUM(AE:AE)</f>
        <v>59</v>
      </c>
      <c r="C22" s="116">
        <f t="shared" ca="1" si="12"/>
        <v>42</v>
      </c>
    </row>
    <row r="23" spans="1:3" ht="12.75">
      <c r="A23" s="114" t="s">
        <v>40</v>
      </c>
      <c r="B23" s="115">
        <f t="shared" ref="B23:C23" ca="1" si="13">SUM(AG:AG)</f>
        <v>227</v>
      </c>
      <c r="C23" s="116">
        <f t="shared" ca="1" si="13"/>
        <v>227</v>
      </c>
    </row>
    <row r="24" spans="1:3" ht="12.75">
      <c r="A24" s="117" t="s">
        <v>32</v>
      </c>
      <c r="B24" s="118">
        <f t="shared" ref="B24:C24" ca="1" si="14">SUM(B17:B23)</f>
        <v>461</v>
      </c>
      <c r="C24" s="119">
        <f t="shared" ca="1" si="14"/>
        <v>358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1</v>
      </c>
      <c r="C26" s="116">
        <f t="shared" ca="1" si="15"/>
        <v>2</v>
      </c>
    </row>
    <row r="27" spans="1:3" ht="12.75">
      <c r="A27" s="114" t="s">
        <v>43</v>
      </c>
      <c r="B27" s="115">
        <f t="shared" ref="B27:C27" ca="1" si="16">SUM(AK:AK)</f>
        <v>1</v>
      </c>
      <c r="C27" s="116">
        <f t="shared" ca="1" si="16"/>
        <v>1</v>
      </c>
    </row>
    <row r="28" spans="1:3" ht="12.75">
      <c r="A28" s="114" t="s">
        <v>44</v>
      </c>
      <c r="B28" s="115">
        <f t="shared" ref="B28:C28" ca="1" si="17">SUM(AM:AM)</f>
        <v>51</v>
      </c>
      <c r="C28" s="116">
        <f t="shared" ca="1" si="17"/>
        <v>51</v>
      </c>
    </row>
    <row r="29" spans="1:3" ht="12.75">
      <c r="A29" s="117" t="s">
        <v>32</v>
      </c>
      <c r="B29" s="118">
        <f t="shared" ref="B29:C29" ca="1" si="18">SUM(B26:B28)</f>
        <v>53</v>
      </c>
      <c r="C29" s="119">
        <f t="shared" ca="1" si="18"/>
        <v>54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29</v>
      </c>
      <c r="C32" s="116">
        <f t="shared" ca="1" si="20"/>
        <v>23</v>
      </c>
    </row>
    <row r="33" spans="1:67" ht="12.75">
      <c r="A33" s="114" t="s">
        <v>48</v>
      </c>
      <c r="B33" s="115">
        <f t="shared" ref="B33:C33" ca="1" si="21">SUM(AS:AS)</f>
        <v>1</v>
      </c>
      <c r="C33" s="116">
        <f t="shared" ca="1" si="21"/>
        <v>1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16</v>
      </c>
      <c r="C35" s="116">
        <f t="shared" ca="1" si="23"/>
        <v>6</v>
      </c>
    </row>
    <row r="36" spans="1:67" ht="12.75">
      <c r="A36" s="117" t="s">
        <v>32</v>
      </c>
      <c r="B36" s="118">
        <f t="shared" ref="B36:C36" ca="1" si="24">SUM(B31:B35)</f>
        <v>46</v>
      </c>
      <c r="C36" s="119">
        <f t="shared" ca="1" si="24"/>
        <v>30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563</v>
      </c>
      <c r="C38" s="124">
        <f t="shared" ca="1" si="26"/>
        <v>544</v>
      </c>
    </row>
    <row r="39" spans="1:67" ht="15">
      <c r="A39" s="126" t="s">
        <v>20</v>
      </c>
      <c r="B39" s="127">
        <f t="shared" ref="B39:C39" ca="1" si="27">SUM(B15,B24,B29,B36,B37,B38)</f>
        <v>1135</v>
      </c>
      <c r="C39" s="128">
        <f t="shared" ca="1" si="27"/>
        <v>1018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/>
      <c r="C2" s="102" t="s">
        <v>72</v>
      </c>
      <c r="D2" s="103" t="str">
        <f ca="1">IFERROR(__xludf.DUMMYFUNCTION("QUERY('Form Responses 1'!A:BE,""select * where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15</v>
      </c>
      <c r="B3" s="105" t="s">
        <v>73</v>
      </c>
      <c r="C3" s="106" t="s">
        <v>73</v>
      </c>
      <c r="D3" s="107">
        <f ca="1">IFERROR(__xludf.DUMMYFUNCTION("""COMPUTED_VALUE"""),44464.0430048611)</f>
        <v>44464.043004861102</v>
      </c>
      <c r="E3" s="103" t="str">
        <f ca="1">IFERROR(__xludf.DUMMYFUNCTION("""COMPUTED_VALUE"""),"p6@rtp.com")</f>
        <v>p6@rtp.com</v>
      </c>
      <c r="F3" s="108" t="str">
        <f ca="1">IFERROR(__xludf.DUMMYFUNCTION("""COMPUTED_VALUE"""),"rtp2021")</f>
        <v>rtp2021</v>
      </c>
      <c r="G3" s="103"/>
      <c r="H3" s="108" t="str">
        <f ca="1">IFERROR(__xludf.DUMMYFUNCTION("""COMPUTED_VALUE"""),"ภ.6")</f>
        <v>ภ.6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>
        <f ca="1">IFERROR(__xludf.DUMMYFUNCTION("""COMPUTED_VALUE"""),2)</f>
        <v>2</v>
      </c>
      <c r="T3" s="108">
        <f ca="1">IFERROR(__xludf.DUMMYFUNCTION("""COMPUTED_VALUE"""),11)</f>
        <v>11</v>
      </c>
      <c r="U3" s="108">
        <f ca="1">IFERROR(__xludf.DUMMYFUNCTION("""COMPUTED_VALUE"""),1)</f>
        <v>1</v>
      </c>
      <c r="V3" s="108">
        <f ca="1">IFERROR(__xludf.DUMMYFUNCTION("""COMPUTED_VALUE"""),1)</f>
        <v>1</v>
      </c>
      <c r="W3" s="108"/>
      <c r="X3" s="108"/>
      <c r="Y3" s="108"/>
      <c r="Z3" s="108"/>
      <c r="AA3" s="108">
        <f ca="1">IFERROR(__xludf.DUMMYFUNCTION("""COMPUTED_VALUE"""),3)</f>
        <v>3</v>
      </c>
      <c r="AB3" s="108">
        <f ca="1">IFERROR(__xludf.DUMMYFUNCTION("""COMPUTED_VALUE"""),4)</f>
        <v>4</v>
      </c>
      <c r="AC3" s="108">
        <f ca="1">IFERROR(__xludf.DUMMYFUNCTION("""COMPUTED_VALUE"""),11)</f>
        <v>11</v>
      </c>
      <c r="AD3" s="108">
        <f ca="1">IFERROR(__xludf.DUMMYFUNCTION("""COMPUTED_VALUE"""),16)</f>
        <v>16</v>
      </c>
      <c r="AE3" s="108">
        <f ca="1">IFERROR(__xludf.DUMMYFUNCTION("""COMPUTED_VALUE"""),15)</f>
        <v>15</v>
      </c>
      <c r="AF3" s="108">
        <f ca="1">IFERROR(__xludf.DUMMYFUNCTION("""COMPUTED_VALUE"""),15)</f>
        <v>15</v>
      </c>
      <c r="AG3" s="108">
        <f ca="1">IFERROR(__xludf.DUMMYFUNCTION("""COMPUTED_VALUE"""),36)</f>
        <v>36</v>
      </c>
      <c r="AH3" s="108">
        <f ca="1">IFERROR(__xludf.DUMMYFUNCTION("""COMPUTED_VALUE"""),36)</f>
        <v>36</v>
      </c>
      <c r="AI3" s="108"/>
      <c r="AJ3" s="108"/>
      <c r="AK3" s="108">
        <f ca="1">IFERROR(__xludf.DUMMYFUNCTION("""COMPUTED_VALUE"""),1)</f>
        <v>1</v>
      </c>
      <c r="AL3" s="108">
        <f ca="1">IFERROR(__xludf.DUMMYFUNCTION("""COMPUTED_VALUE"""),2)</f>
        <v>2</v>
      </c>
      <c r="AM3" s="108">
        <f ca="1">IFERROR(__xludf.DUMMYFUNCTION("""COMPUTED_VALUE"""),6)</f>
        <v>6</v>
      </c>
      <c r="AN3" s="108">
        <f ca="1">IFERROR(__xludf.DUMMYFUNCTION("""COMPUTED_VALUE"""),6)</f>
        <v>6</v>
      </c>
      <c r="AO3" s="108"/>
      <c r="AP3" s="108"/>
      <c r="AQ3" s="108">
        <f ca="1">IFERROR(__xludf.DUMMYFUNCTION("""COMPUTED_VALUE"""),4)</f>
        <v>4</v>
      </c>
      <c r="AR3" s="108">
        <f ca="1">IFERROR(__xludf.DUMMYFUNCTION("""COMPUTED_VALUE"""),4)</f>
        <v>4</v>
      </c>
      <c r="AS3" s="108">
        <f ca="1">IFERROR(__xludf.DUMMYFUNCTION("""COMPUTED_VALUE"""),2)</f>
        <v>2</v>
      </c>
      <c r="AT3" s="108">
        <f ca="1">IFERROR(__xludf.DUMMYFUNCTION("""COMPUTED_VALUE"""),3)</f>
        <v>3</v>
      </c>
      <c r="AU3" s="108"/>
      <c r="AV3" s="108"/>
      <c r="AW3" s="108"/>
      <c r="AX3" s="108"/>
      <c r="AY3" s="108"/>
      <c r="AZ3" s="108"/>
      <c r="BA3" s="108">
        <f ca="1">IFERROR(__xludf.DUMMYFUNCTION("""COMPUTED_VALUE"""),19)</f>
        <v>19</v>
      </c>
      <c r="BB3" s="108">
        <f ca="1">IFERROR(__xludf.DUMMYFUNCTION("""COMPUTED_VALUE"""),19)</f>
        <v>19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  <c r="D4" s="107">
        <f ca="1">IFERROR(__xludf.DUMMYFUNCTION("""COMPUTED_VALUE"""),44465.044789155)</f>
        <v>44465.044789154999</v>
      </c>
      <c r="E4" s="103" t="str">
        <f ca="1">IFERROR(__xludf.DUMMYFUNCTION("""COMPUTED_VALUE"""),"p6@rtp.com")</f>
        <v>p6@rtp.com</v>
      </c>
      <c r="F4" s="103" t="str">
        <f ca="1">IFERROR(__xludf.DUMMYFUNCTION("""COMPUTED_VALUE"""),"rtp2021")</f>
        <v>rtp2021</v>
      </c>
      <c r="G4" s="103"/>
      <c r="H4" s="103" t="str">
        <f ca="1">IFERROR(__xludf.DUMMYFUNCTION("""COMPUTED_VALUE"""),"ภ.6")</f>
        <v>ภ.6</v>
      </c>
      <c r="I4" s="103">
        <f ca="1">IFERROR(__xludf.DUMMYFUNCTION("""COMPUTED_VALUE"""),0)</f>
        <v>0</v>
      </c>
      <c r="J4" s="103">
        <f ca="1">IFERROR(__xludf.DUMMYFUNCTION("""COMPUTED_VALUE"""),0)</f>
        <v>0</v>
      </c>
      <c r="K4" s="103">
        <f ca="1">IFERROR(__xludf.DUMMYFUNCTION("""COMPUTED_VALUE"""),0)</f>
        <v>0</v>
      </c>
      <c r="L4" s="103">
        <f ca="1">IFERROR(__xludf.DUMMYFUNCTION("""COMPUTED_VALUE"""),0)</f>
        <v>0</v>
      </c>
      <c r="M4" s="103">
        <f ca="1">IFERROR(__xludf.DUMMYFUNCTION("""COMPUTED_VALUE"""),0)</f>
        <v>0</v>
      </c>
      <c r="N4" s="103">
        <f ca="1">IFERROR(__xludf.DUMMYFUNCTION("""COMPUTED_VALUE"""),0)</f>
        <v>0</v>
      </c>
      <c r="O4" s="103">
        <f ca="1">IFERROR(__xludf.DUMMYFUNCTION("""COMPUTED_VALUE"""),0)</f>
        <v>0</v>
      </c>
      <c r="P4" s="103">
        <f ca="1">IFERROR(__xludf.DUMMYFUNCTION("""COMPUTED_VALUE"""),0)</f>
        <v>0</v>
      </c>
      <c r="Q4" s="103">
        <f ca="1">IFERROR(__xludf.DUMMYFUNCTION("""COMPUTED_VALUE"""),0)</f>
        <v>0</v>
      </c>
      <c r="R4" s="103">
        <f ca="1">IFERROR(__xludf.DUMMYFUNCTION("""COMPUTED_VALUE"""),0)</f>
        <v>0</v>
      </c>
      <c r="S4" s="103">
        <f ca="1">IFERROR(__xludf.DUMMYFUNCTION("""COMPUTED_VALUE"""),3)</f>
        <v>3</v>
      </c>
      <c r="T4" s="103">
        <f ca="1">IFERROR(__xludf.DUMMYFUNCTION("""COMPUTED_VALUE"""),18)</f>
        <v>18</v>
      </c>
      <c r="U4" s="103">
        <f ca="1">IFERROR(__xludf.DUMMYFUNCTION("""COMPUTED_VALUE"""),0)</f>
        <v>0</v>
      </c>
      <c r="V4" s="103">
        <f ca="1">IFERROR(__xludf.DUMMYFUNCTION("""COMPUTED_VALUE"""),0)</f>
        <v>0</v>
      </c>
      <c r="W4" s="103">
        <f ca="1">IFERROR(__xludf.DUMMYFUNCTION("""COMPUTED_VALUE"""),0)</f>
        <v>0</v>
      </c>
      <c r="X4" s="103">
        <f ca="1">IFERROR(__xludf.DUMMYFUNCTION("""COMPUTED_VALUE"""),0)</f>
        <v>0</v>
      </c>
      <c r="Y4" s="103">
        <f ca="1">IFERROR(__xludf.DUMMYFUNCTION("""COMPUTED_VALUE"""),0)</f>
        <v>0</v>
      </c>
      <c r="Z4" s="103">
        <f ca="1">IFERROR(__xludf.DUMMYFUNCTION("""COMPUTED_VALUE"""),0)</f>
        <v>0</v>
      </c>
      <c r="AA4" s="103">
        <f ca="1">IFERROR(__xludf.DUMMYFUNCTION("""COMPUTED_VALUE"""),0)</f>
        <v>0</v>
      </c>
      <c r="AB4" s="103">
        <f ca="1">IFERROR(__xludf.DUMMYFUNCTION("""COMPUTED_VALUE"""),0)</f>
        <v>0</v>
      </c>
      <c r="AC4" s="103">
        <f ca="1">IFERROR(__xludf.DUMMYFUNCTION("""COMPUTED_VALUE"""),6)</f>
        <v>6</v>
      </c>
      <c r="AD4" s="103">
        <f ca="1">IFERROR(__xludf.DUMMYFUNCTION("""COMPUTED_VALUE"""),7)</f>
        <v>7</v>
      </c>
      <c r="AE4" s="103">
        <f ca="1">IFERROR(__xludf.DUMMYFUNCTION("""COMPUTED_VALUE"""),7)</f>
        <v>7</v>
      </c>
      <c r="AF4" s="103">
        <f ca="1">IFERROR(__xludf.DUMMYFUNCTION("""COMPUTED_VALUE"""),7)</f>
        <v>7</v>
      </c>
      <c r="AG4" s="103">
        <f ca="1">IFERROR(__xludf.DUMMYFUNCTION("""COMPUTED_VALUE"""),16)</f>
        <v>16</v>
      </c>
      <c r="AH4" s="103">
        <f ca="1">IFERROR(__xludf.DUMMYFUNCTION("""COMPUTED_VALUE"""),16)</f>
        <v>16</v>
      </c>
      <c r="AI4" s="103"/>
      <c r="AJ4" s="103"/>
      <c r="AK4" s="103">
        <f ca="1">IFERROR(__xludf.DUMMYFUNCTION("""COMPUTED_VALUE"""),1)</f>
        <v>1</v>
      </c>
      <c r="AL4" s="103">
        <f ca="1">IFERROR(__xludf.DUMMYFUNCTION("""COMPUTED_VALUE"""),1)</f>
        <v>1</v>
      </c>
      <c r="AM4" s="103">
        <f ca="1">IFERROR(__xludf.DUMMYFUNCTION("""COMPUTED_VALUE"""),8)</f>
        <v>8</v>
      </c>
      <c r="AN4" s="103">
        <f ca="1">IFERROR(__xludf.DUMMYFUNCTION("""COMPUTED_VALUE"""),8)</f>
        <v>8</v>
      </c>
      <c r="AO4" s="103"/>
      <c r="AP4" s="103"/>
      <c r="AQ4" s="103">
        <f ca="1">IFERROR(__xludf.DUMMYFUNCTION("""COMPUTED_VALUE"""),5)</f>
        <v>5</v>
      </c>
      <c r="AR4" s="103">
        <f ca="1">IFERROR(__xludf.DUMMYFUNCTION("""COMPUTED_VALUE"""),5)</f>
        <v>5</v>
      </c>
      <c r="AS4" s="103"/>
      <c r="AT4" s="103"/>
      <c r="AU4" s="103"/>
      <c r="AV4" s="103"/>
      <c r="AW4" s="103"/>
      <c r="AX4" s="103"/>
      <c r="AY4" s="103">
        <f ca="1">IFERROR(__xludf.DUMMYFUNCTION("""COMPUTED_VALUE"""),0)</f>
        <v>0</v>
      </c>
      <c r="AZ4" s="103">
        <f ca="1">IFERROR(__xludf.DUMMYFUNCTION("""COMPUTED_VALUE"""),0)</f>
        <v>0</v>
      </c>
      <c r="BA4" s="103">
        <f ca="1">IFERROR(__xludf.DUMMYFUNCTION("""COMPUTED_VALUE"""),26)</f>
        <v>26</v>
      </c>
      <c r="BB4" s="103">
        <f ca="1">IFERROR(__xludf.DUMMYFUNCTION("""COMPUTED_VALUE"""),26)</f>
        <v>26</v>
      </c>
      <c r="BC4" s="103"/>
      <c r="BD4" s="103"/>
      <c r="BE4" s="103"/>
      <c r="BF4" s="103"/>
      <c r="BG4" s="103"/>
      <c r="BH4" s="103"/>
    </row>
    <row r="5" spans="1:67" ht="12.75">
      <c r="A5" s="638"/>
      <c r="B5" s="109" t="s">
        <v>21</v>
      </c>
      <c r="C5" s="110" t="s">
        <v>22</v>
      </c>
      <c r="D5" s="107">
        <f ca="1">IFERROR(__xludf.DUMMYFUNCTION("""COMPUTED_VALUE"""),44466.0108980902)</f>
        <v>44466.0108980902</v>
      </c>
      <c r="E5" s="103" t="str">
        <f ca="1">IFERROR(__xludf.DUMMYFUNCTION("""COMPUTED_VALUE"""),"p6@rtp.com")</f>
        <v>p6@rtp.com</v>
      </c>
      <c r="F5" s="103" t="str">
        <f ca="1">IFERROR(__xludf.DUMMYFUNCTION("""COMPUTED_VALUE"""),"rtp2021")</f>
        <v>rtp2021</v>
      </c>
      <c r="G5" s="103"/>
      <c r="H5" s="103" t="str">
        <f ca="1">IFERROR(__xludf.DUMMYFUNCTION("""COMPUTED_VALUE"""),"ภ.6")</f>
        <v>ภ.6</v>
      </c>
      <c r="I5" s="103">
        <f ca="1">IFERROR(__xludf.DUMMYFUNCTION("""COMPUTED_VALUE"""),0)</f>
        <v>0</v>
      </c>
      <c r="J5" s="103">
        <f ca="1">IFERROR(__xludf.DUMMYFUNCTION("""COMPUTED_VALUE"""),0)</f>
        <v>0</v>
      </c>
      <c r="K5" s="103">
        <f ca="1">IFERROR(__xludf.DUMMYFUNCTION("""COMPUTED_VALUE"""),0)</f>
        <v>0</v>
      </c>
      <c r="L5" s="103">
        <f ca="1">IFERROR(__xludf.DUMMYFUNCTION("""COMPUTED_VALUE"""),0)</f>
        <v>0</v>
      </c>
      <c r="M5" s="103">
        <f ca="1">IFERROR(__xludf.DUMMYFUNCTION("""COMPUTED_VALUE"""),0)</f>
        <v>0</v>
      </c>
      <c r="N5" s="103">
        <f ca="1">IFERROR(__xludf.DUMMYFUNCTION("""COMPUTED_VALUE"""),0)</f>
        <v>0</v>
      </c>
      <c r="O5" s="103">
        <f ca="1">IFERROR(__xludf.DUMMYFUNCTION("""COMPUTED_VALUE"""),0)</f>
        <v>0</v>
      </c>
      <c r="P5" s="103">
        <f ca="1">IFERROR(__xludf.DUMMYFUNCTION("""COMPUTED_VALUE"""),0)</f>
        <v>0</v>
      </c>
      <c r="Q5" s="103">
        <f ca="1">IFERROR(__xludf.DUMMYFUNCTION("""COMPUTED_VALUE"""),0)</f>
        <v>0</v>
      </c>
      <c r="R5" s="103">
        <f ca="1">IFERROR(__xludf.DUMMYFUNCTION("""COMPUTED_VALUE"""),0)</f>
        <v>0</v>
      </c>
      <c r="S5" s="103">
        <f ca="1">IFERROR(__xludf.DUMMYFUNCTION("""COMPUTED_VALUE"""),1)</f>
        <v>1</v>
      </c>
      <c r="T5" s="103">
        <f ca="1">IFERROR(__xludf.DUMMYFUNCTION("""COMPUTED_VALUE"""),5)</f>
        <v>5</v>
      </c>
      <c r="U5" s="103">
        <f ca="1">IFERROR(__xludf.DUMMYFUNCTION("""COMPUTED_VALUE"""),0)</f>
        <v>0</v>
      </c>
      <c r="V5" s="103">
        <f ca="1">IFERROR(__xludf.DUMMYFUNCTION("""COMPUTED_VALUE"""),0)</f>
        <v>0</v>
      </c>
      <c r="W5" s="103">
        <f ca="1">IFERROR(__xludf.DUMMYFUNCTION("""COMPUTED_VALUE"""),0)</f>
        <v>0</v>
      </c>
      <c r="X5" s="103">
        <f ca="1">IFERROR(__xludf.DUMMYFUNCTION("""COMPUTED_VALUE"""),0)</f>
        <v>0</v>
      </c>
      <c r="Y5" s="103">
        <f ca="1">IFERROR(__xludf.DUMMYFUNCTION("""COMPUTED_VALUE"""),0)</f>
        <v>0</v>
      </c>
      <c r="Z5" s="103">
        <f ca="1">IFERROR(__xludf.DUMMYFUNCTION("""COMPUTED_VALUE"""),0)</f>
        <v>0</v>
      </c>
      <c r="AA5" s="103">
        <f ca="1">IFERROR(__xludf.DUMMYFUNCTION("""COMPUTED_VALUE"""),3)</f>
        <v>3</v>
      </c>
      <c r="AB5" s="103">
        <f ca="1">IFERROR(__xludf.DUMMYFUNCTION("""COMPUTED_VALUE"""),3)</f>
        <v>3</v>
      </c>
      <c r="AC5" s="103">
        <f ca="1">IFERROR(__xludf.DUMMYFUNCTION("""COMPUTED_VALUE"""),3)</f>
        <v>3</v>
      </c>
      <c r="AD5" s="103">
        <f ca="1">IFERROR(__xludf.DUMMYFUNCTION("""COMPUTED_VALUE"""),3)</f>
        <v>3</v>
      </c>
      <c r="AE5" s="103">
        <f ca="1">IFERROR(__xludf.DUMMYFUNCTION("""COMPUTED_VALUE"""),4)</f>
        <v>4</v>
      </c>
      <c r="AF5" s="103">
        <f ca="1">IFERROR(__xludf.DUMMYFUNCTION("""COMPUTED_VALUE"""),6)</f>
        <v>6</v>
      </c>
      <c r="AG5" s="103">
        <f ca="1">IFERROR(__xludf.DUMMYFUNCTION("""COMPUTED_VALUE"""),21)</f>
        <v>21</v>
      </c>
      <c r="AH5" s="103">
        <f ca="1">IFERROR(__xludf.DUMMYFUNCTION("""COMPUTED_VALUE"""),21)</f>
        <v>21</v>
      </c>
      <c r="AI5" s="103">
        <f ca="1">IFERROR(__xludf.DUMMYFUNCTION("""COMPUTED_VALUE"""),0)</f>
        <v>0</v>
      </c>
      <c r="AJ5" s="103">
        <f ca="1">IFERROR(__xludf.DUMMYFUNCTION("""COMPUTED_VALUE"""),0)</f>
        <v>0</v>
      </c>
      <c r="AK5" s="103">
        <f ca="1">IFERROR(__xludf.DUMMYFUNCTION("""COMPUTED_VALUE"""),0)</f>
        <v>0</v>
      </c>
      <c r="AL5" s="103">
        <f ca="1">IFERROR(__xludf.DUMMYFUNCTION("""COMPUTED_VALUE"""),0)</f>
        <v>0</v>
      </c>
      <c r="AM5" s="103">
        <f ca="1">IFERROR(__xludf.DUMMYFUNCTION("""COMPUTED_VALUE"""),12)</f>
        <v>12</v>
      </c>
      <c r="AN5" s="103">
        <f ca="1">IFERROR(__xludf.DUMMYFUNCTION("""COMPUTED_VALUE"""),12)</f>
        <v>12</v>
      </c>
      <c r="AO5" s="103">
        <f ca="1">IFERROR(__xludf.DUMMYFUNCTION("""COMPUTED_VALUE"""),0)</f>
        <v>0</v>
      </c>
      <c r="AP5" s="103">
        <f ca="1">IFERROR(__xludf.DUMMYFUNCTION("""COMPUTED_VALUE"""),0)</f>
        <v>0</v>
      </c>
      <c r="AQ5" s="103">
        <f ca="1">IFERROR(__xludf.DUMMYFUNCTION("""COMPUTED_VALUE"""),6)</f>
        <v>6</v>
      </c>
      <c r="AR5" s="103">
        <f ca="1">IFERROR(__xludf.DUMMYFUNCTION("""COMPUTED_VALUE"""),6)</f>
        <v>6</v>
      </c>
      <c r="AS5" s="103">
        <f ca="1">IFERROR(__xludf.DUMMYFUNCTION("""COMPUTED_VALUE"""),0)</f>
        <v>0</v>
      </c>
      <c r="AT5" s="103">
        <f ca="1">IFERROR(__xludf.DUMMYFUNCTION("""COMPUTED_VALUE"""),0)</f>
        <v>0</v>
      </c>
      <c r="AU5" s="103">
        <f ca="1">IFERROR(__xludf.DUMMYFUNCTION("""COMPUTED_VALUE"""),0)</f>
        <v>0</v>
      </c>
      <c r="AV5" s="103">
        <f ca="1">IFERROR(__xludf.DUMMYFUNCTION("""COMPUTED_VALUE"""),0)</f>
        <v>0</v>
      </c>
      <c r="AW5" s="103">
        <f ca="1">IFERROR(__xludf.DUMMYFUNCTION("""COMPUTED_VALUE"""),2)</f>
        <v>2</v>
      </c>
      <c r="AX5" s="103">
        <f ca="1">IFERROR(__xludf.DUMMYFUNCTION("""COMPUTED_VALUE"""),2)</f>
        <v>2</v>
      </c>
      <c r="AY5" s="103">
        <f ca="1">IFERROR(__xludf.DUMMYFUNCTION("""COMPUTED_VALUE"""),0)</f>
        <v>0</v>
      </c>
      <c r="AZ5" s="103">
        <f ca="1">IFERROR(__xludf.DUMMYFUNCTION("""COMPUTED_VALUE"""),0)</f>
        <v>0</v>
      </c>
      <c r="BA5" s="103">
        <f ca="1">IFERROR(__xludf.DUMMYFUNCTION("""COMPUTED_VALUE"""),16)</f>
        <v>16</v>
      </c>
      <c r="BB5" s="103">
        <f ca="1">IFERROR(__xludf.DUMMYFUNCTION("""COMPUTED_VALUE"""),16)</f>
        <v>16</v>
      </c>
      <c r="BC5" s="103"/>
      <c r="BD5" s="103"/>
      <c r="BE5" s="103"/>
      <c r="BF5" s="103"/>
      <c r="BG5" s="103"/>
      <c r="BH5" s="103"/>
    </row>
    <row r="6" spans="1:67" ht="12.75">
      <c r="A6" s="111" t="s">
        <v>23</v>
      </c>
      <c r="B6" s="112"/>
      <c r="C6" s="113"/>
      <c r="D6" s="107">
        <f ca="1">IFERROR(__xludf.DUMMYFUNCTION("""COMPUTED_VALUE"""),44467.011401412)</f>
        <v>44467.011401411997</v>
      </c>
      <c r="E6" s="103" t="str">
        <f ca="1">IFERROR(__xludf.DUMMYFUNCTION("""COMPUTED_VALUE"""),"p6@rtp.com")</f>
        <v>p6@rtp.com</v>
      </c>
      <c r="F6" s="103" t="str">
        <f ca="1">IFERROR(__xludf.DUMMYFUNCTION("""COMPUTED_VALUE"""),"rtp2021")</f>
        <v>rtp2021</v>
      </c>
      <c r="G6" s="103"/>
      <c r="H6" s="103" t="str">
        <f ca="1">IFERROR(__xludf.DUMMYFUNCTION("""COMPUTED_VALUE"""),"ภ.6")</f>
        <v>ภ.6</v>
      </c>
      <c r="I6" s="103">
        <f ca="1">IFERROR(__xludf.DUMMYFUNCTION("""COMPUTED_VALUE"""),0)</f>
        <v>0</v>
      </c>
      <c r="J6" s="103">
        <f ca="1">IFERROR(__xludf.DUMMYFUNCTION("""COMPUTED_VALUE"""),0)</f>
        <v>0</v>
      </c>
      <c r="K6" s="103">
        <f ca="1">IFERROR(__xludf.DUMMYFUNCTION("""COMPUTED_VALUE"""),0)</f>
        <v>0</v>
      </c>
      <c r="L6" s="103">
        <f ca="1">IFERROR(__xludf.DUMMYFUNCTION("""COMPUTED_VALUE"""),0)</f>
        <v>0</v>
      </c>
      <c r="M6" s="103">
        <f ca="1">IFERROR(__xludf.DUMMYFUNCTION("""COMPUTED_VALUE"""),0)</f>
        <v>0</v>
      </c>
      <c r="N6" s="103">
        <f ca="1">IFERROR(__xludf.DUMMYFUNCTION("""COMPUTED_VALUE"""),0)</f>
        <v>0</v>
      </c>
      <c r="O6" s="103">
        <f ca="1">IFERROR(__xludf.DUMMYFUNCTION("""COMPUTED_VALUE"""),0)</f>
        <v>0</v>
      </c>
      <c r="P6" s="103">
        <f ca="1">IFERROR(__xludf.DUMMYFUNCTION("""COMPUTED_VALUE"""),0)</f>
        <v>0</v>
      </c>
      <c r="Q6" s="103">
        <f ca="1">IFERROR(__xludf.DUMMYFUNCTION("""COMPUTED_VALUE"""),0)</f>
        <v>0</v>
      </c>
      <c r="R6" s="103">
        <f ca="1">IFERROR(__xludf.DUMMYFUNCTION("""COMPUTED_VALUE"""),0)</f>
        <v>0</v>
      </c>
      <c r="S6" s="103">
        <f ca="1">IFERROR(__xludf.DUMMYFUNCTION("""COMPUTED_VALUE"""),1)</f>
        <v>1</v>
      </c>
      <c r="T6" s="103">
        <f ca="1">IFERROR(__xludf.DUMMYFUNCTION("""COMPUTED_VALUE"""),5)</f>
        <v>5</v>
      </c>
      <c r="U6" s="103">
        <f ca="1">IFERROR(__xludf.DUMMYFUNCTION("""COMPUTED_VALUE"""),0)</f>
        <v>0</v>
      </c>
      <c r="V6" s="103">
        <f ca="1">IFERROR(__xludf.DUMMYFUNCTION("""COMPUTED_VALUE"""),0)</f>
        <v>0</v>
      </c>
      <c r="W6" s="103">
        <f ca="1">IFERROR(__xludf.DUMMYFUNCTION("""COMPUTED_VALUE"""),0)</f>
        <v>0</v>
      </c>
      <c r="X6" s="103">
        <f ca="1">IFERROR(__xludf.DUMMYFUNCTION("""COMPUTED_VALUE"""),0)</f>
        <v>0</v>
      </c>
      <c r="Y6" s="103">
        <f ca="1">IFERROR(__xludf.DUMMYFUNCTION("""COMPUTED_VALUE"""),0)</f>
        <v>0</v>
      </c>
      <c r="Z6" s="103">
        <f ca="1">IFERROR(__xludf.DUMMYFUNCTION("""COMPUTED_VALUE"""),0)</f>
        <v>0</v>
      </c>
      <c r="AA6" s="103">
        <f ca="1">IFERROR(__xludf.DUMMYFUNCTION("""COMPUTED_VALUE"""),0)</f>
        <v>0</v>
      </c>
      <c r="AB6" s="103">
        <f ca="1">IFERROR(__xludf.DUMMYFUNCTION("""COMPUTED_VALUE"""),0)</f>
        <v>0</v>
      </c>
      <c r="AC6" s="103">
        <f ca="1">IFERROR(__xludf.DUMMYFUNCTION("""COMPUTED_VALUE"""),8)</f>
        <v>8</v>
      </c>
      <c r="AD6" s="103">
        <f ca="1">IFERROR(__xludf.DUMMYFUNCTION("""COMPUTED_VALUE"""),10)</f>
        <v>10</v>
      </c>
      <c r="AE6" s="103">
        <f ca="1">IFERROR(__xludf.DUMMYFUNCTION("""COMPUTED_VALUE"""),6)</f>
        <v>6</v>
      </c>
      <c r="AF6" s="103">
        <f ca="1">IFERROR(__xludf.DUMMYFUNCTION("""COMPUTED_VALUE"""),6)</f>
        <v>6</v>
      </c>
      <c r="AG6" s="103">
        <f ca="1">IFERROR(__xludf.DUMMYFUNCTION("""COMPUTED_VALUE"""),105)</f>
        <v>105</v>
      </c>
      <c r="AH6" s="103">
        <f ca="1">IFERROR(__xludf.DUMMYFUNCTION("""COMPUTED_VALUE"""),105)</f>
        <v>105</v>
      </c>
      <c r="AI6" s="103">
        <f ca="1">IFERROR(__xludf.DUMMYFUNCTION("""COMPUTED_VALUE"""),0)</f>
        <v>0</v>
      </c>
      <c r="AJ6" s="103">
        <f ca="1">IFERROR(__xludf.DUMMYFUNCTION("""COMPUTED_VALUE"""),0)</f>
        <v>0</v>
      </c>
      <c r="AK6" s="103">
        <f ca="1">IFERROR(__xludf.DUMMYFUNCTION("""COMPUTED_VALUE"""),2)</f>
        <v>2</v>
      </c>
      <c r="AL6" s="103">
        <f ca="1">IFERROR(__xludf.DUMMYFUNCTION("""COMPUTED_VALUE"""),2)</f>
        <v>2</v>
      </c>
      <c r="AM6" s="103">
        <f ca="1">IFERROR(__xludf.DUMMYFUNCTION("""COMPUTED_VALUE"""),23)</f>
        <v>23</v>
      </c>
      <c r="AN6" s="103">
        <f ca="1">IFERROR(__xludf.DUMMYFUNCTION("""COMPUTED_VALUE"""),23)</f>
        <v>23</v>
      </c>
      <c r="AO6" s="103">
        <f ca="1">IFERROR(__xludf.DUMMYFUNCTION("""COMPUTED_VALUE"""),0)</f>
        <v>0</v>
      </c>
      <c r="AP6" s="103">
        <f ca="1">IFERROR(__xludf.DUMMYFUNCTION("""COMPUTED_VALUE"""),0)</f>
        <v>0</v>
      </c>
      <c r="AQ6" s="103">
        <f ca="1">IFERROR(__xludf.DUMMYFUNCTION("""COMPUTED_VALUE"""),12)</f>
        <v>12</v>
      </c>
      <c r="AR6" s="103">
        <f ca="1">IFERROR(__xludf.DUMMYFUNCTION("""COMPUTED_VALUE"""),12)</f>
        <v>12</v>
      </c>
      <c r="AS6" s="103">
        <f ca="1">IFERROR(__xludf.DUMMYFUNCTION("""COMPUTED_VALUE"""),2)</f>
        <v>2</v>
      </c>
      <c r="AT6" s="103">
        <f ca="1">IFERROR(__xludf.DUMMYFUNCTION("""COMPUTED_VALUE"""),2)</f>
        <v>2</v>
      </c>
      <c r="AU6" s="103">
        <f ca="1">IFERROR(__xludf.DUMMYFUNCTION("""COMPUTED_VALUE"""),0)</f>
        <v>0</v>
      </c>
      <c r="AV6" s="103">
        <f ca="1">IFERROR(__xludf.DUMMYFUNCTION("""COMPUTED_VALUE"""),0)</f>
        <v>0</v>
      </c>
      <c r="AW6" s="103">
        <f ca="1">IFERROR(__xludf.DUMMYFUNCTION("""COMPUTED_VALUE"""),3)</f>
        <v>3</v>
      </c>
      <c r="AX6" s="103">
        <f ca="1">IFERROR(__xludf.DUMMYFUNCTION("""COMPUTED_VALUE"""),3)</f>
        <v>3</v>
      </c>
      <c r="AY6" s="103">
        <f ca="1">IFERROR(__xludf.DUMMYFUNCTION("""COMPUTED_VALUE"""),0)</f>
        <v>0</v>
      </c>
      <c r="AZ6" s="103">
        <f ca="1">IFERROR(__xludf.DUMMYFUNCTION("""COMPUTED_VALUE"""),0)</f>
        <v>0</v>
      </c>
      <c r="BA6" s="103">
        <f ca="1">IFERROR(__xludf.DUMMYFUNCTION("""COMPUTED_VALUE"""),96)</f>
        <v>96</v>
      </c>
      <c r="BB6" s="103">
        <f ca="1">IFERROR(__xludf.DUMMYFUNCTION("""COMPUTED_VALUE"""),96)</f>
        <v>96</v>
      </c>
      <c r="BC6" s="103"/>
      <c r="BD6" s="103"/>
      <c r="BE6" s="103"/>
      <c r="BF6" s="103"/>
      <c r="BG6" s="103"/>
      <c r="BH6" s="103"/>
    </row>
    <row r="7" spans="1:67" ht="12.75">
      <c r="A7" s="114" t="s">
        <v>24</v>
      </c>
      <c r="B7" s="115">
        <f t="shared" ref="B7:C7" ca="1" si="0">SUM(I:I)</f>
        <v>1</v>
      </c>
      <c r="C7" s="116">
        <f t="shared" ca="1" si="0"/>
        <v>6</v>
      </c>
      <c r="D7" s="107">
        <f ca="1">IFERROR(__xludf.DUMMYFUNCTION("""COMPUTED_VALUE"""),44468.0628896064)</f>
        <v>44468.062889606401</v>
      </c>
      <c r="E7" s="103" t="str">
        <f ca="1">IFERROR(__xludf.DUMMYFUNCTION("""COMPUTED_VALUE"""),"p6@rtp.com")</f>
        <v>p6@rtp.com</v>
      </c>
      <c r="F7" s="103" t="str">
        <f ca="1">IFERROR(__xludf.DUMMYFUNCTION("""COMPUTED_VALUE"""),"rtp2021")</f>
        <v>rtp2021</v>
      </c>
      <c r="G7" s="103"/>
      <c r="H7" s="103" t="str">
        <f ca="1">IFERROR(__xludf.DUMMYFUNCTION("""COMPUTED_VALUE"""),"ภ.6")</f>
        <v>ภ.6</v>
      </c>
      <c r="I7" s="103">
        <f ca="1">IFERROR(__xludf.DUMMYFUNCTION("""COMPUTED_VALUE"""),0)</f>
        <v>0</v>
      </c>
      <c r="J7" s="103">
        <f ca="1">IFERROR(__xludf.DUMMYFUNCTION("""COMPUTED_VALUE"""),0)</f>
        <v>0</v>
      </c>
      <c r="K7" s="103">
        <f ca="1">IFERROR(__xludf.DUMMYFUNCTION("""COMPUTED_VALUE"""),0)</f>
        <v>0</v>
      </c>
      <c r="L7" s="103">
        <f ca="1">IFERROR(__xludf.DUMMYFUNCTION("""COMPUTED_VALUE"""),0)</f>
        <v>0</v>
      </c>
      <c r="M7" s="103"/>
      <c r="N7" s="103"/>
      <c r="O7" s="103">
        <f ca="1">IFERROR(__xludf.DUMMYFUNCTION("""COMPUTED_VALUE"""),0)</f>
        <v>0</v>
      </c>
      <c r="P7" s="103">
        <f ca="1">IFERROR(__xludf.DUMMYFUNCTION("""COMPUTED_VALUE"""),0)</f>
        <v>0</v>
      </c>
      <c r="Q7" s="103">
        <f ca="1">IFERROR(__xludf.DUMMYFUNCTION("""COMPUTED_VALUE"""),1)</f>
        <v>1</v>
      </c>
      <c r="R7" s="103">
        <f ca="1">IFERROR(__xludf.DUMMYFUNCTION("""COMPUTED_VALUE"""),1)</f>
        <v>1</v>
      </c>
      <c r="S7" s="103">
        <f ca="1">IFERROR(__xludf.DUMMYFUNCTION("""COMPUTED_VALUE"""),2)</f>
        <v>2</v>
      </c>
      <c r="T7" s="103">
        <f ca="1">IFERROR(__xludf.DUMMYFUNCTION("""COMPUTED_VALUE"""),10)</f>
        <v>10</v>
      </c>
      <c r="U7" s="103">
        <f ca="1">IFERROR(__xludf.DUMMYFUNCTION("""COMPUTED_VALUE"""),1)</f>
        <v>1</v>
      </c>
      <c r="V7" s="103">
        <f ca="1">IFERROR(__xludf.DUMMYFUNCTION("""COMPUTED_VALUE"""),1)</f>
        <v>1</v>
      </c>
      <c r="W7" s="103">
        <f ca="1">IFERROR(__xludf.DUMMYFUNCTION("""COMPUTED_VALUE"""),0)</f>
        <v>0</v>
      </c>
      <c r="X7" s="103">
        <f ca="1">IFERROR(__xludf.DUMMYFUNCTION("""COMPUTED_VALUE"""),0)</f>
        <v>0</v>
      </c>
      <c r="Y7" s="103">
        <f ca="1">IFERROR(__xludf.DUMMYFUNCTION("""COMPUTED_VALUE"""),0)</f>
        <v>0</v>
      </c>
      <c r="Z7" s="103">
        <f ca="1">IFERROR(__xludf.DUMMYFUNCTION("""COMPUTED_VALUE"""),0)</f>
        <v>0</v>
      </c>
      <c r="AA7" s="103">
        <f ca="1">IFERROR(__xludf.DUMMYFUNCTION("""COMPUTED_VALUE"""),7)</f>
        <v>7</v>
      </c>
      <c r="AB7" s="103">
        <f ca="1">IFERROR(__xludf.DUMMYFUNCTION("""COMPUTED_VALUE"""),7)</f>
        <v>7</v>
      </c>
      <c r="AC7" s="103">
        <f ca="1">IFERROR(__xludf.DUMMYFUNCTION("""COMPUTED_VALUE"""),30)</f>
        <v>30</v>
      </c>
      <c r="AD7" s="103">
        <f ca="1">IFERROR(__xludf.DUMMYFUNCTION("""COMPUTED_VALUE"""),30)</f>
        <v>30</v>
      </c>
      <c r="AE7" s="103">
        <f ca="1">IFERROR(__xludf.DUMMYFUNCTION("""COMPUTED_VALUE"""),26)</f>
        <v>26</v>
      </c>
      <c r="AF7" s="103">
        <f ca="1">IFERROR(__xludf.DUMMYFUNCTION("""COMPUTED_VALUE"""),26)</f>
        <v>26</v>
      </c>
      <c r="AG7" s="103">
        <f ca="1">IFERROR(__xludf.DUMMYFUNCTION("""COMPUTED_VALUE"""),88)</f>
        <v>88</v>
      </c>
      <c r="AH7" s="103">
        <f ca="1">IFERROR(__xludf.DUMMYFUNCTION("""COMPUTED_VALUE"""),88)</f>
        <v>88</v>
      </c>
      <c r="AI7" s="103">
        <f ca="1">IFERROR(__xludf.DUMMYFUNCTION("""COMPUTED_VALUE"""),0)</f>
        <v>0</v>
      </c>
      <c r="AJ7" s="103">
        <f ca="1">IFERROR(__xludf.DUMMYFUNCTION("""COMPUTED_VALUE"""),0)</f>
        <v>0</v>
      </c>
      <c r="AK7" s="103">
        <f ca="1">IFERROR(__xludf.DUMMYFUNCTION("""COMPUTED_VALUE"""),1)</f>
        <v>1</v>
      </c>
      <c r="AL7" s="103">
        <f ca="1">IFERROR(__xludf.DUMMYFUNCTION("""COMPUTED_VALUE"""),1)</f>
        <v>1</v>
      </c>
      <c r="AM7" s="103">
        <f ca="1">IFERROR(__xludf.DUMMYFUNCTION("""COMPUTED_VALUE"""),5)</f>
        <v>5</v>
      </c>
      <c r="AN7" s="103">
        <f ca="1">IFERROR(__xludf.DUMMYFUNCTION("""COMPUTED_VALUE"""),5)</f>
        <v>5</v>
      </c>
      <c r="AO7" s="103">
        <f ca="1">IFERROR(__xludf.DUMMYFUNCTION("""COMPUTED_VALUE"""),0)</f>
        <v>0</v>
      </c>
      <c r="AP7" s="103">
        <f ca="1">IFERROR(__xludf.DUMMYFUNCTION("""COMPUTED_VALUE"""),0)</f>
        <v>0</v>
      </c>
      <c r="AQ7" s="103">
        <f ca="1">IFERROR(__xludf.DUMMYFUNCTION("""COMPUTED_VALUE"""),14)</f>
        <v>14</v>
      </c>
      <c r="AR7" s="103">
        <f ca="1">IFERROR(__xludf.DUMMYFUNCTION("""COMPUTED_VALUE"""),14)</f>
        <v>14</v>
      </c>
      <c r="AS7" s="103">
        <f ca="1">IFERROR(__xludf.DUMMYFUNCTION("""COMPUTED_VALUE"""),4)</f>
        <v>4</v>
      </c>
      <c r="AT7" s="103">
        <f ca="1">IFERROR(__xludf.DUMMYFUNCTION("""COMPUTED_VALUE"""),4)</f>
        <v>4</v>
      </c>
      <c r="AU7" s="103">
        <f ca="1">IFERROR(__xludf.DUMMYFUNCTION("""COMPUTED_VALUE"""),0)</f>
        <v>0</v>
      </c>
      <c r="AV7" s="103">
        <f ca="1">IFERROR(__xludf.DUMMYFUNCTION("""COMPUTED_VALUE"""),0)</f>
        <v>0</v>
      </c>
      <c r="AW7" s="103">
        <f ca="1">IFERROR(__xludf.DUMMYFUNCTION("""COMPUTED_VALUE"""),3)</f>
        <v>3</v>
      </c>
      <c r="AX7" s="103">
        <f ca="1">IFERROR(__xludf.DUMMYFUNCTION("""COMPUTED_VALUE"""),3)</f>
        <v>3</v>
      </c>
      <c r="AY7" s="103">
        <f ca="1">IFERROR(__xludf.DUMMYFUNCTION("""COMPUTED_VALUE"""),0)</f>
        <v>0</v>
      </c>
      <c r="AZ7" s="103">
        <f ca="1">IFERROR(__xludf.DUMMYFUNCTION("""COMPUTED_VALUE"""),0)</f>
        <v>0</v>
      </c>
      <c r="BA7" s="103">
        <f ca="1">IFERROR(__xludf.DUMMYFUNCTION("""COMPUTED_VALUE"""),90)</f>
        <v>90</v>
      </c>
      <c r="BB7" s="103">
        <f ca="1">IFERROR(__xludf.DUMMYFUNCTION("""COMPUTED_VALUE"""),90)</f>
        <v>90</v>
      </c>
      <c r="BC7" s="103"/>
      <c r="BD7" s="103"/>
      <c r="BE7" s="103"/>
      <c r="BF7" s="103"/>
      <c r="BG7" s="103"/>
      <c r="BH7" s="103"/>
    </row>
    <row r="8" spans="1:67" ht="12.75">
      <c r="A8" s="114" t="s">
        <v>25</v>
      </c>
      <c r="B8" s="115"/>
      <c r="C8" s="116"/>
      <c r="D8" s="107">
        <f ca="1">IFERROR(__xludf.DUMMYFUNCTION("""COMPUTED_VALUE"""),44469.0174637962)</f>
        <v>44469.017463796197</v>
      </c>
      <c r="E8" s="103" t="str">
        <f ca="1">IFERROR(__xludf.DUMMYFUNCTION("""COMPUTED_VALUE"""),"p6@rtp.com")</f>
        <v>p6@rtp.com</v>
      </c>
      <c r="F8" s="103" t="str">
        <f ca="1">IFERROR(__xludf.DUMMYFUNCTION("""COMPUTED_VALUE"""),"rtp2021")</f>
        <v>rtp2021</v>
      </c>
      <c r="G8" s="103"/>
      <c r="H8" s="103" t="str">
        <f ca="1">IFERROR(__xludf.DUMMYFUNCTION("""COMPUTED_VALUE"""),"ภ.6")</f>
        <v>ภ.6</v>
      </c>
      <c r="I8" s="103">
        <f ca="1">IFERROR(__xludf.DUMMYFUNCTION("""COMPUTED_VALUE"""),1)</f>
        <v>1</v>
      </c>
      <c r="J8" s="103">
        <f ca="1">IFERROR(__xludf.DUMMYFUNCTION("""COMPUTED_VALUE"""),6)</f>
        <v>6</v>
      </c>
      <c r="K8" s="103">
        <f ca="1">IFERROR(__xludf.DUMMYFUNCTION("""COMPUTED_VALUE"""),0)</f>
        <v>0</v>
      </c>
      <c r="L8" s="103">
        <f ca="1">IFERROR(__xludf.DUMMYFUNCTION("""COMPUTED_VALUE"""),0)</f>
        <v>0</v>
      </c>
      <c r="M8" s="103">
        <f ca="1">IFERROR(__xludf.DUMMYFUNCTION("""COMPUTED_VALUE"""),0)</f>
        <v>0</v>
      </c>
      <c r="N8" s="103">
        <f ca="1">IFERROR(__xludf.DUMMYFUNCTION("""COMPUTED_VALUE"""),0)</f>
        <v>0</v>
      </c>
      <c r="O8" s="103"/>
      <c r="P8" s="103"/>
      <c r="Q8" s="103">
        <f ca="1">IFERROR(__xludf.DUMMYFUNCTION("""COMPUTED_VALUE"""),1)</f>
        <v>1</v>
      </c>
      <c r="R8" s="103">
        <f ca="1">IFERROR(__xludf.DUMMYFUNCTION("""COMPUTED_VALUE"""),1)</f>
        <v>1</v>
      </c>
      <c r="S8" s="103">
        <f ca="1">IFERROR(__xludf.DUMMYFUNCTION("""COMPUTED_VALUE"""),1)</f>
        <v>1</v>
      </c>
      <c r="T8" s="103">
        <f ca="1">IFERROR(__xludf.DUMMYFUNCTION("""COMPUTED_VALUE"""),5)</f>
        <v>5</v>
      </c>
      <c r="U8" s="103">
        <f ca="1">IFERROR(__xludf.DUMMYFUNCTION("""COMPUTED_VALUE"""),1)</f>
        <v>1</v>
      </c>
      <c r="V8" s="103">
        <f ca="1">IFERROR(__xludf.DUMMYFUNCTION("""COMPUTED_VALUE"""),1)</f>
        <v>1</v>
      </c>
      <c r="W8" s="103">
        <f ca="1">IFERROR(__xludf.DUMMYFUNCTION("""COMPUTED_VALUE"""),0)</f>
        <v>0</v>
      </c>
      <c r="X8" s="103">
        <f ca="1">IFERROR(__xludf.DUMMYFUNCTION("""COMPUTED_VALUE"""),0)</f>
        <v>0</v>
      </c>
      <c r="Y8" s="103">
        <f ca="1">IFERROR(__xludf.DUMMYFUNCTION("""COMPUTED_VALUE"""),0)</f>
        <v>0</v>
      </c>
      <c r="Z8" s="103">
        <f ca="1">IFERROR(__xludf.DUMMYFUNCTION("""COMPUTED_VALUE"""),0)</f>
        <v>0</v>
      </c>
      <c r="AA8" s="103">
        <f ca="1">IFERROR(__xludf.DUMMYFUNCTION("""COMPUTED_VALUE"""),3)</f>
        <v>3</v>
      </c>
      <c r="AB8" s="103">
        <f ca="1">IFERROR(__xludf.DUMMYFUNCTION("""COMPUTED_VALUE"""),4)</f>
        <v>4</v>
      </c>
      <c r="AC8" s="103">
        <f ca="1">IFERROR(__xludf.DUMMYFUNCTION("""COMPUTED_VALUE"""),16)</f>
        <v>16</v>
      </c>
      <c r="AD8" s="103">
        <f ca="1">IFERROR(__xludf.DUMMYFUNCTION("""COMPUTED_VALUE"""),18)</f>
        <v>18</v>
      </c>
      <c r="AE8" s="103">
        <f ca="1">IFERROR(__xludf.DUMMYFUNCTION("""COMPUTED_VALUE"""),13)</f>
        <v>13</v>
      </c>
      <c r="AF8" s="103">
        <f ca="1">IFERROR(__xludf.DUMMYFUNCTION("""COMPUTED_VALUE"""),13)</f>
        <v>13</v>
      </c>
      <c r="AG8" s="103">
        <f ca="1">IFERROR(__xludf.DUMMYFUNCTION("""COMPUTED_VALUE"""),84)</f>
        <v>84</v>
      </c>
      <c r="AH8" s="103">
        <f ca="1">IFERROR(__xludf.DUMMYFUNCTION("""COMPUTED_VALUE"""),84)</f>
        <v>84</v>
      </c>
      <c r="AI8" s="103">
        <f ca="1">IFERROR(__xludf.DUMMYFUNCTION("""COMPUTED_VALUE"""),0)</f>
        <v>0</v>
      </c>
      <c r="AJ8" s="103">
        <f ca="1">IFERROR(__xludf.DUMMYFUNCTION("""COMPUTED_VALUE"""),0)</f>
        <v>0</v>
      </c>
      <c r="AK8" s="103">
        <f ca="1">IFERROR(__xludf.DUMMYFUNCTION("""COMPUTED_VALUE"""),0)</f>
        <v>0</v>
      </c>
      <c r="AL8" s="103">
        <f ca="1">IFERROR(__xludf.DUMMYFUNCTION("""COMPUTED_VALUE"""),0)</f>
        <v>0</v>
      </c>
      <c r="AM8" s="103">
        <f ca="1">IFERROR(__xludf.DUMMYFUNCTION("""COMPUTED_VALUE"""),6)</f>
        <v>6</v>
      </c>
      <c r="AN8" s="103">
        <f ca="1">IFERROR(__xludf.DUMMYFUNCTION("""COMPUTED_VALUE"""),6)</f>
        <v>6</v>
      </c>
      <c r="AO8" s="103">
        <f ca="1">IFERROR(__xludf.DUMMYFUNCTION("""COMPUTED_VALUE"""),0)</f>
        <v>0</v>
      </c>
      <c r="AP8" s="103">
        <f ca="1">IFERROR(__xludf.DUMMYFUNCTION("""COMPUTED_VALUE"""),0)</f>
        <v>0</v>
      </c>
      <c r="AQ8" s="103">
        <f ca="1">IFERROR(__xludf.DUMMYFUNCTION("""COMPUTED_VALUE"""),12)</f>
        <v>12</v>
      </c>
      <c r="AR8" s="103">
        <f ca="1">IFERROR(__xludf.DUMMYFUNCTION("""COMPUTED_VALUE"""),11)</f>
        <v>11</v>
      </c>
      <c r="AS8" s="103">
        <f ca="1">IFERROR(__xludf.DUMMYFUNCTION("""COMPUTED_VALUE"""),2)</f>
        <v>2</v>
      </c>
      <c r="AT8" s="103">
        <f ca="1">IFERROR(__xludf.DUMMYFUNCTION("""COMPUTED_VALUE"""),2)</f>
        <v>2</v>
      </c>
      <c r="AU8" s="103">
        <f ca="1">IFERROR(__xludf.DUMMYFUNCTION("""COMPUTED_VALUE"""),0)</f>
        <v>0</v>
      </c>
      <c r="AV8" s="103">
        <f ca="1">IFERROR(__xludf.DUMMYFUNCTION("""COMPUTED_VALUE"""),0)</f>
        <v>0</v>
      </c>
      <c r="AW8" s="103">
        <f ca="1">IFERROR(__xludf.DUMMYFUNCTION("""COMPUTED_VALUE"""),1)</f>
        <v>1</v>
      </c>
      <c r="AX8" s="103">
        <f ca="1">IFERROR(__xludf.DUMMYFUNCTION("""COMPUTED_VALUE"""),0)</f>
        <v>0</v>
      </c>
      <c r="AY8" s="103">
        <f ca="1">IFERROR(__xludf.DUMMYFUNCTION("""COMPUTED_VALUE"""),0)</f>
        <v>0</v>
      </c>
      <c r="AZ8" s="103">
        <f ca="1">IFERROR(__xludf.DUMMYFUNCTION("""COMPUTED_VALUE"""),0)</f>
        <v>0</v>
      </c>
      <c r="BA8" s="103">
        <f ca="1">IFERROR(__xludf.DUMMYFUNCTION("""COMPUTED_VALUE"""),57)</f>
        <v>57</v>
      </c>
      <c r="BB8" s="103">
        <f ca="1">IFERROR(__xludf.DUMMYFUNCTION("""COMPUTED_VALUE"""),57)</f>
        <v>57</v>
      </c>
      <c r="BC8" s="103"/>
      <c r="BD8" s="103"/>
      <c r="BE8" s="103"/>
      <c r="BF8" s="103"/>
      <c r="BG8" s="103"/>
      <c r="BH8" s="103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  <c r="D9" s="107">
        <f ca="1">IFERROR(__xludf.DUMMYFUNCTION("""COMPUTED_VALUE"""),44470.0077485069)</f>
        <v>44470.007748506898</v>
      </c>
      <c r="E9" s="103" t="str">
        <f ca="1">IFERROR(__xludf.DUMMYFUNCTION("""COMPUTED_VALUE"""),"p6@rtp.com")</f>
        <v>p6@rtp.com</v>
      </c>
      <c r="F9" s="103" t="str">
        <f ca="1">IFERROR(__xludf.DUMMYFUNCTION("""COMPUTED_VALUE"""),"rtp2021")</f>
        <v>rtp2021</v>
      </c>
      <c r="G9" s="103"/>
      <c r="H9" s="103" t="str">
        <f ca="1">IFERROR(__xludf.DUMMYFUNCTION("""COMPUTED_VALUE"""),"ภ.6")</f>
        <v>ภ.6</v>
      </c>
      <c r="I9" s="103">
        <f ca="1">IFERROR(__xludf.DUMMYFUNCTION("""COMPUTED_VALUE"""),0)</f>
        <v>0</v>
      </c>
      <c r="J9" s="103">
        <f ca="1">IFERROR(__xludf.DUMMYFUNCTION("""COMPUTED_VALUE"""),0)</f>
        <v>0</v>
      </c>
      <c r="K9" s="103"/>
      <c r="L9" s="103"/>
      <c r="M9" s="103">
        <f ca="1">IFERROR(__xludf.DUMMYFUNCTION("""COMPUTED_VALUE"""),3)</f>
        <v>3</v>
      </c>
      <c r="N9" s="103">
        <f ca="1">IFERROR(__xludf.DUMMYFUNCTION("""COMPUTED_VALUE"""),3)</f>
        <v>3</v>
      </c>
      <c r="O9" s="103">
        <f ca="1">IFERROR(__xludf.DUMMYFUNCTION("""COMPUTED_VALUE"""),0)</f>
        <v>0</v>
      </c>
      <c r="P9" s="103">
        <f ca="1">IFERROR(__xludf.DUMMYFUNCTION("""COMPUTED_VALUE"""),0)</f>
        <v>0</v>
      </c>
      <c r="Q9" s="103">
        <f ca="1">IFERROR(__xludf.DUMMYFUNCTION("""COMPUTED_VALUE"""),2)</f>
        <v>2</v>
      </c>
      <c r="R9" s="103">
        <f ca="1">IFERROR(__xludf.DUMMYFUNCTION("""COMPUTED_VALUE"""),2)</f>
        <v>2</v>
      </c>
      <c r="S9" s="103">
        <f ca="1">IFERROR(__xludf.DUMMYFUNCTION("""COMPUTED_VALUE"""),1)</f>
        <v>1</v>
      </c>
      <c r="T9" s="103">
        <f ca="1">IFERROR(__xludf.DUMMYFUNCTION("""COMPUTED_VALUE"""),6)</f>
        <v>6</v>
      </c>
      <c r="U9" s="103">
        <f ca="1">IFERROR(__xludf.DUMMYFUNCTION("""COMPUTED_VALUE"""),0)</f>
        <v>0</v>
      </c>
      <c r="V9" s="103">
        <f ca="1">IFERROR(__xludf.DUMMYFUNCTION("""COMPUTED_VALUE"""),0)</f>
        <v>0</v>
      </c>
      <c r="W9" s="103">
        <f ca="1">IFERROR(__xludf.DUMMYFUNCTION("""COMPUTED_VALUE"""),0)</f>
        <v>0</v>
      </c>
      <c r="X9" s="103">
        <f ca="1">IFERROR(__xludf.DUMMYFUNCTION("""COMPUTED_VALUE"""),0)</f>
        <v>0</v>
      </c>
      <c r="Y9" s="103">
        <f ca="1">IFERROR(__xludf.DUMMYFUNCTION("""COMPUTED_VALUE"""),0)</f>
        <v>0</v>
      </c>
      <c r="Z9" s="103">
        <f ca="1">IFERROR(__xludf.DUMMYFUNCTION("""COMPUTED_VALUE"""),0)</f>
        <v>0</v>
      </c>
      <c r="AA9" s="103">
        <f ca="1">IFERROR(__xludf.DUMMYFUNCTION("""COMPUTED_VALUE"""),5)</f>
        <v>5</v>
      </c>
      <c r="AB9" s="103">
        <f ca="1">IFERROR(__xludf.DUMMYFUNCTION("""COMPUTED_VALUE"""),6)</f>
        <v>6</v>
      </c>
      <c r="AC9" s="103">
        <f ca="1">IFERROR(__xludf.DUMMYFUNCTION("""COMPUTED_VALUE"""),18)</f>
        <v>18</v>
      </c>
      <c r="AD9" s="103">
        <f ca="1">IFERROR(__xludf.DUMMYFUNCTION("""COMPUTED_VALUE"""),17)</f>
        <v>17</v>
      </c>
      <c r="AE9" s="103">
        <f ca="1">IFERROR(__xludf.DUMMYFUNCTION("""COMPUTED_VALUE"""),16)</f>
        <v>16</v>
      </c>
      <c r="AF9" s="103">
        <f ca="1">IFERROR(__xludf.DUMMYFUNCTION("""COMPUTED_VALUE"""),16)</f>
        <v>16</v>
      </c>
      <c r="AG9" s="103">
        <f ca="1">IFERROR(__xludf.DUMMYFUNCTION("""COMPUTED_VALUE"""),46)</f>
        <v>46</v>
      </c>
      <c r="AH9" s="103">
        <f ca="1">IFERROR(__xludf.DUMMYFUNCTION("""COMPUTED_VALUE"""),46)</f>
        <v>46</v>
      </c>
      <c r="AI9" s="103">
        <f ca="1">IFERROR(__xludf.DUMMYFUNCTION("""COMPUTED_VALUE"""),0)</f>
        <v>0</v>
      </c>
      <c r="AJ9" s="103">
        <f ca="1">IFERROR(__xludf.DUMMYFUNCTION("""COMPUTED_VALUE"""),0)</f>
        <v>0</v>
      </c>
      <c r="AK9" s="103">
        <f ca="1">IFERROR(__xludf.DUMMYFUNCTION("""COMPUTED_VALUE"""),1)</f>
        <v>1</v>
      </c>
      <c r="AL9" s="103">
        <f ca="1">IFERROR(__xludf.DUMMYFUNCTION("""COMPUTED_VALUE"""),1)</f>
        <v>1</v>
      </c>
      <c r="AM9" s="103">
        <f ca="1">IFERROR(__xludf.DUMMYFUNCTION("""COMPUTED_VALUE"""),24)</f>
        <v>24</v>
      </c>
      <c r="AN9" s="103">
        <f ca="1">IFERROR(__xludf.DUMMYFUNCTION("""COMPUTED_VALUE"""),24)</f>
        <v>24</v>
      </c>
      <c r="AO9" s="103">
        <f ca="1">IFERROR(__xludf.DUMMYFUNCTION("""COMPUTED_VALUE"""),0)</f>
        <v>0</v>
      </c>
      <c r="AP9" s="103">
        <f ca="1">IFERROR(__xludf.DUMMYFUNCTION("""COMPUTED_VALUE"""),0)</f>
        <v>0</v>
      </c>
      <c r="AQ9" s="103">
        <f ca="1">IFERROR(__xludf.DUMMYFUNCTION("""COMPUTED_VALUE"""),5)</f>
        <v>5</v>
      </c>
      <c r="AR9" s="103">
        <f ca="1">IFERROR(__xludf.DUMMYFUNCTION("""COMPUTED_VALUE"""),5)</f>
        <v>5</v>
      </c>
      <c r="AS9" s="103">
        <f ca="1">IFERROR(__xludf.DUMMYFUNCTION("""COMPUTED_VALUE"""),0)</f>
        <v>0</v>
      </c>
      <c r="AT9" s="103">
        <f ca="1">IFERROR(__xludf.DUMMYFUNCTION("""COMPUTED_VALUE"""),0)</f>
        <v>0</v>
      </c>
      <c r="AU9" s="103">
        <f ca="1">IFERROR(__xludf.DUMMYFUNCTION("""COMPUTED_VALUE"""),0)</f>
        <v>0</v>
      </c>
      <c r="AV9" s="103">
        <f ca="1">IFERROR(__xludf.DUMMYFUNCTION("""COMPUTED_VALUE"""),0)</f>
        <v>0</v>
      </c>
      <c r="AW9" s="103">
        <f ca="1">IFERROR(__xludf.DUMMYFUNCTION("""COMPUTED_VALUE"""),2)</f>
        <v>2</v>
      </c>
      <c r="AX9" s="103">
        <f ca="1">IFERROR(__xludf.DUMMYFUNCTION("""COMPUTED_VALUE"""),2)</f>
        <v>2</v>
      </c>
      <c r="AY9" s="103">
        <f ca="1">IFERROR(__xludf.DUMMYFUNCTION("""COMPUTED_VALUE"""),0)</f>
        <v>0</v>
      </c>
      <c r="AZ9" s="103">
        <f ca="1">IFERROR(__xludf.DUMMYFUNCTION("""COMPUTED_VALUE"""),0)</f>
        <v>0</v>
      </c>
      <c r="BA9" s="103">
        <f ca="1">IFERROR(__xludf.DUMMYFUNCTION("""COMPUTED_VALUE"""),29)</f>
        <v>29</v>
      </c>
      <c r="BB9" s="103">
        <f ca="1">IFERROR(__xludf.DUMMYFUNCTION("""COMPUTED_VALUE"""),29)</f>
        <v>29</v>
      </c>
      <c r="BC9" s="103"/>
      <c r="BD9" s="103"/>
      <c r="BE9" s="103"/>
      <c r="BF9" s="103"/>
      <c r="BG9" s="103"/>
      <c r="BH9" s="103"/>
    </row>
    <row r="10" spans="1:67" ht="12.75">
      <c r="A10" s="114" t="s">
        <v>27</v>
      </c>
      <c r="B10" s="115">
        <f t="shared" ref="B10:C10" ca="1" si="2">SUM(M:M)</f>
        <v>3</v>
      </c>
      <c r="C10" s="116">
        <f t="shared" ca="1" si="2"/>
        <v>3</v>
      </c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0</v>
      </c>
      <c r="C12" s="116">
        <f t="shared" ca="1" si="3"/>
        <v>0</v>
      </c>
    </row>
    <row r="13" spans="1:67" ht="12.75">
      <c r="A13" s="114" t="s">
        <v>30</v>
      </c>
      <c r="B13" s="115">
        <f t="shared" ref="B13:C13" ca="1" si="4">SUM(Q:Q)</f>
        <v>4</v>
      </c>
      <c r="C13" s="116">
        <f t="shared" ca="1" si="4"/>
        <v>4</v>
      </c>
    </row>
    <row r="14" spans="1:67" ht="12.75">
      <c r="A14" s="114" t="s">
        <v>31</v>
      </c>
      <c r="B14" s="115">
        <f t="shared" ref="B14:C14" ca="1" si="5">SUM(S:S)</f>
        <v>11</v>
      </c>
      <c r="C14" s="116">
        <f t="shared" ca="1" si="5"/>
        <v>60</v>
      </c>
    </row>
    <row r="15" spans="1:67" ht="12.75">
      <c r="A15" s="117" t="s">
        <v>32</v>
      </c>
      <c r="B15" s="118">
        <f t="shared" ref="B15:C15" ca="1" si="6">SUM(B6:B14)</f>
        <v>19</v>
      </c>
      <c r="C15" s="119">
        <f t="shared" ca="1" si="6"/>
        <v>73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3</v>
      </c>
      <c r="C17" s="116">
        <f t="shared" ca="1" si="7"/>
        <v>3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21</v>
      </c>
      <c r="C20" s="116">
        <f t="shared" ca="1" si="10"/>
        <v>24</v>
      </c>
    </row>
    <row r="21" spans="1:3" ht="12.75">
      <c r="A21" s="114" t="s">
        <v>38</v>
      </c>
      <c r="B21" s="115">
        <f t="shared" ref="B21:C21" ca="1" si="11">SUM(AC:AC)</f>
        <v>92</v>
      </c>
      <c r="C21" s="116">
        <f t="shared" ca="1" si="11"/>
        <v>101</v>
      </c>
    </row>
    <row r="22" spans="1:3" ht="12.75">
      <c r="A22" s="114" t="s">
        <v>39</v>
      </c>
      <c r="B22" s="115">
        <f t="shared" ref="B22:C22" ca="1" si="12">SUM(AE:AE)</f>
        <v>87</v>
      </c>
      <c r="C22" s="116">
        <f t="shared" ca="1" si="12"/>
        <v>89</v>
      </c>
    </row>
    <row r="23" spans="1:3" ht="12.75">
      <c r="A23" s="114" t="s">
        <v>40</v>
      </c>
      <c r="B23" s="115">
        <f t="shared" ref="B23:C23" ca="1" si="13">SUM(AG:AG)</f>
        <v>396</v>
      </c>
      <c r="C23" s="116">
        <f t="shared" ca="1" si="13"/>
        <v>396</v>
      </c>
    </row>
    <row r="24" spans="1:3" ht="12.75">
      <c r="A24" s="117" t="s">
        <v>32</v>
      </c>
      <c r="B24" s="118">
        <f t="shared" ref="B24:C24" ca="1" si="14">SUM(B17:B23)</f>
        <v>599</v>
      </c>
      <c r="C24" s="119">
        <f t="shared" ca="1" si="14"/>
        <v>613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6</v>
      </c>
      <c r="C27" s="116">
        <f t="shared" ca="1" si="16"/>
        <v>7</v>
      </c>
    </row>
    <row r="28" spans="1:3" ht="12.75">
      <c r="A28" s="114" t="s">
        <v>44</v>
      </c>
      <c r="B28" s="115">
        <f t="shared" ref="B28:C28" ca="1" si="17">SUM(AM:AM)</f>
        <v>84</v>
      </c>
      <c r="C28" s="116">
        <f t="shared" ca="1" si="17"/>
        <v>84</v>
      </c>
    </row>
    <row r="29" spans="1:3" ht="12.75">
      <c r="A29" s="117" t="s">
        <v>32</v>
      </c>
      <c r="B29" s="118">
        <f t="shared" ref="B29:C29" ca="1" si="18">SUM(B26:B28)</f>
        <v>90</v>
      </c>
      <c r="C29" s="119">
        <f t="shared" ca="1" si="18"/>
        <v>91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58</v>
      </c>
      <c r="C32" s="116">
        <f t="shared" ca="1" si="20"/>
        <v>57</v>
      </c>
    </row>
    <row r="33" spans="1:67" ht="12.75">
      <c r="A33" s="114" t="s">
        <v>48</v>
      </c>
      <c r="B33" s="115">
        <f t="shared" ref="B33:C33" ca="1" si="21">SUM(AS:AS)</f>
        <v>10</v>
      </c>
      <c r="C33" s="116">
        <f t="shared" ca="1" si="21"/>
        <v>11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11</v>
      </c>
      <c r="C35" s="116">
        <f t="shared" ca="1" si="23"/>
        <v>10</v>
      </c>
    </row>
    <row r="36" spans="1:67" ht="12.75">
      <c r="A36" s="117" t="s">
        <v>32</v>
      </c>
      <c r="B36" s="118">
        <f t="shared" ref="B36:C36" ca="1" si="24">SUM(B31:B35)</f>
        <v>79</v>
      </c>
      <c r="C36" s="119">
        <f t="shared" ca="1" si="24"/>
        <v>78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333</v>
      </c>
      <c r="C38" s="124">
        <f t="shared" ca="1" si="26"/>
        <v>333</v>
      </c>
    </row>
    <row r="39" spans="1:67" ht="15">
      <c r="A39" s="126" t="s">
        <v>20</v>
      </c>
      <c r="B39" s="127">
        <f t="shared" ref="B39:C39" ca="1" si="27">SUM(B15,B24,B29,B36,B37,B38)</f>
        <v>1120</v>
      </c>
      <c r="C39" s="128">
        <f t="shared" ca="1" si="27"/>
        <v>1188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/>
      <c r="C2" s="102" t="s">
        <v>72</v>
      </c>
      <c r="D2" s="103" t="str">
        <f ca="1">IFERROR(__xludf.DUMMYFUNCTION("QUERY('Form Responses 1'!A:BE,""select * where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1</v>
      </c>
      <c r="B3" s="105" t="s">
        <v>73</v>
      </c>
      <c r="C3" s="106" t="s">
        <v>73</v>
      </c>
      <c r="D3" s="107">
        <f ca="1">IFERROR(__xludf.DUMMYFUNCTION("""COMPUTED_VALUE"""),44463.3194608564)</f>
        <v>44463.319460856401</v>
      </c>
      <c r="E3" s="103" t="str">
        <f ca="1">IFERROR(__xludf.DUMMYFUNCTION("""COMPUTED_VALUE"""),"p7@rtp.com")</f>
        <v>p7@rtp.com</v>
      </c>
      <c r="F3" s="108" t="str">
        <f ca="1">IFERROR(__xludf.DUMMYFUNCTION("""COMPUTED_VALUE"""),"rtp2021")</f>
        <v>rtp2021</v>
      </c>
      <c r="G3" s="103"/>
      <c r="H3" s="108" t="str">
        <f ca="1">IFERROR(__xludf.DUMMYFUNCTION("""COMPUTED_VALUE"""),"ภ.7")</f>
        <v>ภ.7</v>
      </c>
      <c r="I3" s="108">
        <f ca="1">IFERROR(__xludf.DUMMYFUNCTION("""COMPUTED_VALUE"""),0)</f>
        <v>0</v>
      </c>
      <c r="J3" s="108">
        <f ca="1">IFERROR(__xludf.DUMMYFUNCTION("""COMPUTED_VALUE"""),0)</f>
        <v>0</v>
      </c>
      <c r="K3" s="108">
        <f ca="1">IFERROR(__xludf.DUMMYFUNCTION("""COMPUTED_VALUE"""),0)</f>
        <v>0</v>
      </c>
      <c r="L3" s="108">
        <f ca="1">IFERROR(__xludf.DUMMYFUNCTION("""COMPUTED_VALUE"""),0)</f>
        <v>0</v>
      </c>
      <c r="M3" s="108">
        <f ca="1">IFERROR(__xludf.DUMMYFUNCTION("""COMPUTED_VALUE"""),1)</f>
        <v>1</v>
      </c>
      <c r="N3" s="108">
        <f ca="1">IFERROR(__xludf.DUMMYFUNCTION("""COMPUTED_VALUE"""),1)</f>
        <v>1</v>
      </c>
      <c r="O3" s="108">
        <f ca="1">IFERROR(__xludf.DUMMYFUNCTION("""COMPUTED_VALUE"""),0)</f>
        <v>0</v>
      </c>
      <c r="P3" s="108">
        <f ca="1">IFERROR(__xludf.DUMMYFUNCTION("""COMPUTED_VALUE"""),0)</f>
        <v>0</v>
      </c>
      <c r="Q3" s="108">
        <f ca="1">IFERROR(__xludf.DUMMYFUNCTION("""COMPUTED_VALUE"""),1)</f>
        <v>1</v>
      </c>
      <c r="R3" s="108">
        <f ca="1">IFERROR(__xludf.DUMMYFUNCTION("""COMPUTED_VALUE"""),1)</f>
        <v>1</v>
      </c>
      <c r="S3" s="108">
        <f ca="1">IFERROR(__xludf.DUMMYFUNCTION("""COMPUTED_VALUE"""),1)</f>
        <v>1</v>
      </c>
      <c r="T3" s="108">
        <f ca="1">IFERROR(__xludf.DUMMYFUNCTION("""COMPUTED_VALUE"""),6)</f>
        <v>6</v>
      </c>
      <c r="U3" s="108">
        <f ca="1">IFERROR(__xludf.DUMMYFUNCTION("""COMPUTED_VALUE"""),0)</f>
        <v>0</v>
      </c>
      <c r="V3" s="108">
        <f ca="1">IFERROR(__xludf.DUMMYFUNCTION("""COMPUTED_VALUE"""),0)</f>
        <v>0</v>
      </c>
      <c r="W3" s="108">
        <f ca="1">IFERROR(__xludf.DUMMYFUNCTION("""COMPUTED_VALUE"""),0)</f>
        <v>0</v>
      </c>
      <c r="X3" s="108">
        <f ca="1">IFERROR(__xludf.DUMMYFUNCTION("""COMPUTED_VALUE"""),0)</f>
        <v>0</v>
      </c>
      <c r="Y3" s="108">
        <f ca="1">IFERROR(__xludf.DUMMYFUNCTION("""COMPUTED_VALUE"""),0)</f>
        <v>0</v>
      </c>
      <c r="Z3" s="108">
        <f ca="1">IFERROR(__xludf.DUMMYFUNCTION("""COMPUTED_VALUE"""),0)</f>
        <v>0</v>
      </c>
      <c r="AA3" s="108">
        <f ca="1">IFERROR(__xludf.DUMMYFUNCTION("""COMPUTED_VALUE"""),2)</f>
        <v>2</v>
      </c>
      <c r="AB3" s="108">
        <f ca="1">IFERROR(__xludf.DUMMYFUNCTION("""COMPUTED_VALUE"""),2)</f>
        <v>2</v>
      </c>
      <c r="AC3" s="108">
        <f ca="1">IFERROR(__xludf.DUMMYFUNCTION("""COMPUTED_VALUE"""),13)</f>
        <v>13</v>
      </c>
      <c r="AD3" s="108">
        <f ca="1">IFERROR(__xludf.DUMMYFUNCTION("""COMPUTED_VALUE"""),14)</f>
        <v>14</v>
      </c>
      <c r="AE3" s="108">
        <f ca="1">IFERROR(__xludf.DUMMYFUNCTION("""COMPUTED_VALUE"""),9)</f>
        <v>9</v>
      </c>
      <c r="AF3" s="108">
        <f ca="1">IFERROR(__xludf.DUMMYFUNCTION("""COMPUTED_VALUE"""),9)</f>
        <v>9</v>
      </c>
      <c r="AG3" s="108">
        <f ca="1">IFERROR(__xludf.DUMMYFUNCTION("""COMPUTED_VALUE"""),27)</f>
        <v>27</v>
      </c>
      <c r="AH3" s="108">
        <f ca="1">IFERROR(__xludf.DUMMYFUNCTION("""COMPUTED_VALUE"""),27)</f>
        <v>27</v>
      </c>
      <c r="AI3" s="108">
        <f ca="1">IFERROR(__xludf.DUMMYFUNCTION("""COMPUTED_VALUE"""),0)</f>
        <v>0</v>
      </c>
      <c r="AJ3" s="108">
        <f ca="1">IFERROR(__xludf.DUMMYFUNCTION("""COMPUTED_VALUE"""),0)</f>
        <v>0</v>
      </c>
      <c r="AK3" s="108">
        <f ca="1">IFERROR(__xludf.DUMMYFUNCTION("""COMPUTED_VALUE"""),0)</f>
        <v>0</v>
      </c>
      <c r="AL3" s="108">
        <f ca="1">IFERROR(__xludf.DUMMYFUNCTION("""COMPUTED_VALUE"""),0)</f>
        <v>0</v>
      </c>
      <c r="AM3" s="108">
        <f ca="1">IFERROR(__xludf.DUMMYFUNCTION("""COMPUTED_VALUE"""),2)</f>
        <v>2</v>
      </c>
      <c r="AN3" s="108">
        <f ca="1">IFERROR(__xludf.DUMMYFUNCTION("""COMPUTED_VALUE"""),15)</f>
        <v>15</v>
      </c>
      <c r="AO3" s="108">
        <f ca="1">IFERROR(__xludf.DUMMYFUNCTION("""COMPUTED_VALUE"""),0)</f>
        <v>0</v>
      </c>
      <c r="AP3" s="108">
        <f ca="1">IFERROR(__xludf.DUMMYFUNCTION("""COMPUTED_VALUE"""),0)</f>
        <v>0</v>
      </c>
      <c r="AQ3" s="108">
        <f ca="1">IFERROR(__xludf.DUMMYFUNCTION("""COMPUTED_VALUE"""),12)</f>
        <v>12</v>
      </c>
      <c r="AR3" s="108">
        <f ca="1">IFERROR(__xludf.DUMMYFUNCTION("""COMPUTED_VALUE"""),12)</f>
        <v>12</v>
      </c>
      <c r="AS3" s="108">
        <f ca="1">IFERROR(__xludf.DUMMYFUNCTION("""COMPUTED_VALUE"""),2)</f>
        <v>2</v>
      </c>
      <c r="AT3" s="108">
        <f ca="1">IFERROR(__xludf.DUMMYFUNCTION("""COMPUTED_VALUE"""),2)</f>
        <v>2</v>
      </c>
      <c r="AU3" s="108">
        <f ca="1">IFERROR(__xludf.DUMMYFUNCTION("""COMPUTED_VALUE"""),0)</f>
        <v>0</v>
      </c>
      <c r="AV3" s="108">
        <f ca="1">IFERROR(__xludf.DUMMYFUNCTION("""COMPUTED_VALUE"""),0)</f>
        <v>0</v>
      </c>
      <c r="AW3" s="108">
        <f ca="1">IFERROR(__xludf.DUMMYFUNCTION("""COMPUTED_VALUE"""),0)</f>
        <v>0</v>
      </c>
      <c r="AX3" s="108">
        <f ca="1">IFERROR(__xludf.DUMMYFUNCTION("""COMPUTED_VALUE"""),0)</f>
        <v>0</v>
      </c>
      <c r="AY3" s="108">
        <f ca="1">IFERROR(__xludf.DUMMYFUNCTION("""COMPUTED_VALUE"""),0)</f>
        <v>0</v>
      </c>
      <c r="AZ3" s="108">
        <f ca="1">IFERROR(__xludf.DUMMYFUNCTION("""COMPUTED_VALUE"""),0)</f>
        <v>0</v>
      </c>
      <c r="BA3" s="108">
        <f ca="1">IFERROR(__xludf.DUMMYFUNCTION("""COMPUTED_VALUE"""),22)</f>
        <v>22</v>
      </c>
      <c r="BB3" s="108">
        <f ca="1">IFERROR(__xludf.DUMMYFUNCTION("""COMPUTED_VALUE"""),22)</f>
        <v>22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  <c r="D4" s="107">
        <f ca="1">IFERROR(__xludf.DUMMYFUNCTION("""COMPUTED_VALUE"""),44464.3263978009)</f>
        <v>44464.326397800898</v>
      </c>
      <c r="E4" s="103" t="str">
        <f ca="1">IFERROR(__xludf.DUMMYFUNCTION("""COMPUTED_VALUE"""),"p7@rtp.com")</f>
        <v>p7@rtp.com</v>
      </c>
      <c r="F4" s="103" t="str">
        <f ca="1">IFERROR(__xludf.DUMMYFUNCTION("""COMPUTED_VALUE"""),"rtp2021")</f>
        <v>rtp2021</v>
      </c>
      <c r="G4" s="103"/>
      <c r="H4" s="103" t="str">
        <f ca="1">IFERROR(__xludf.DUMMYFUNCTION("""COMPUTED_VALUE"""),"ภ.7")</f>
        <v>ภ.7</v>
      </c>
      <c r="I4" s="103">
        <f ca="1">IFERROR(__xludf.DUMMYFUNCTION("""COMPUTED_VALUE"""),0)</f>
        <v>0</v>
      </c>
      <c r="J4" s="103">
        <f ca="1">IFERROR(__xludf.DUMMYFUNCTION("""COMPUTED_VALUE"""),0)</f>
        <v>0</v>
      </c>
      <c r="K4" s="103">
        <f ca="1">IFERROR(__xludf.DUMMYFUNCTION("""COMPUTED_VALUE"""),0)</f>
        <v>0</v>
      </c>
      <c r="L4" s="103">
        <f ca="1">IFERROR(__xludf.DUMMYFUNCTION("""COMPUTED_VALUE"""),0)</f>
        <v>0</v>
      </c>
      <c r="M4" s="103">
        <f ca="1">IFERROR(__xludf.DUMMYFUNCTION("""COMPUTED_VALUE"""),7)</f>
        <v>7</v>
      </c>
      <c r="N4" s="103">
        <f ca="1">IFERROR(__xludf.DUMMYFUNCTION("""COMPUTED_VALUE"""),7)</f>
        <v>7</v>
      </c>
      <c r="O4" s="103">
        <f ca="1">IFERROR(__xludf.DUMMYFUNCTION("""COMPUTED_VALUE"""),0)</f>
        <v>0</v>
      </c>
      <c r="P4" s="103">
        <f ca="1">IFERROR(__xludf.DUMMYFUNCTION("""COMPUTED_VALUE"""),0)</f>
        <v>0</v>
      </c>
      <c r="Q4" s="103">
        <f ca="1">IFERROR(__xludf.DUMMYFUNCTION("""COMPUTED_VALUE"""),0)</f>
        <v>0</v>
      </c>
      <c r="R4" s="103">
        <f ca="1">IFERROR(__xludf.DUMMYFUNCTION("""COMPUTED_VALUE"""),0)</f>
        <v>0</v>
      </c>
      <c r="S4" s="103">
        <f ca="1">IFERROR(__xludf.DUMMYFUNCTION("""COMPUTED_VALUE"""),2)</f>
        <v>2</v>
      </c>
      <c r="T4" s="103">
        <f ca="1">IFERROR(__xludf.DUMMYFUNCTION("""COMPUTED_VALUE"""),2)</f>
        <v>2</v>
      </c>
      <c r="U4" s="103">
        <f ca="1">IFERROR(__xludf.DUMMYFUNCTION("""COMPUTED_VALUE"""),1)</f>
        <v>1</v>
      </c>
      <c r="V4" s="103">
        <f ca="1">IFERROR(__xludf.DUMMYFUNCTION("""COMPUTED_VALUE"""),1)</f>
        <v>1</v>
      </c>
      <c r="W4" s="103">
        <f ca="1">IFERROR(__xludf.DUMMYFUNCTION("""COMPUTED_VALUE"""),0)</f>
        <v>0</v>
      </c>
      <c r="X4" s="103">
        <f ca="1">IFERROR(__xludf.DUMMYFUNCTION("""COMPUTED_VALUE"""),0)</f>
        <v>0</v>
      </c>
      <c r="Y4" s="103">
        <f ca="1">IFERROR(__xludf.DUMMYFUNCTION("""COMPUTED_VALUE"""),0)</f>
        <v>0</v>
      </c>
      <c r="Z4" s="103">
        <f ca="1">IFERROR(__xludf.DUMMYFUNCTION("""COMPUTED_VALUE"""),0)</f>
        <v>0</v>
      </c>
      <c r="AA4" s="103">
        <f ca="1">IFERROR(__xludf.DUMMYFUNCTION("""COMPUTED_VALUE"""),4)</f>
        <v>4</v>
      </c>
      <c r="AB4" s="103">
        <f ca="1">IFERROR(__xludf.DUMMYFUNCTION("""COMPUTED_VALUE"""),4)</f>
        <v>4</v>
      </c>
      <c r="AC4" s="103">
        <f ca="1">IFERROR(__xludf.DUMMYFUNCTION("""COMPUTED_VALUE"""),25)</f>
        <v>25</v>
      </c>
      <c r="AD4" s="103">
        <f ca="1">IFERROR(__xludf.DUMMYFUNCTION("""COMPUTED_VALUE"""),25)</f>
        <v>25</v>
      </c>
      <c r="AE4" s="103">
        <f ca="1">IFERROR(__xludf.DUMMYFUNCTION("""COMPUTED_VALUE"""),26)</f>
        <v>26</v>
      </c>
      <c r="AF4" s="103">
        <f ca="1">IFERROR(__xludf.DUMMYFUNCTION("""COMPUTED_VALUE"""),28)</f>
        <v>28</v>
      </c>
      <c r="AG4" s="103">
        <f ca="1">IFERROR(__xludf.DUMMYFUNCTION("""COMPUTED_VALUE"""),54)</f>
        <v>54</v>
      </c>
      <c r="AH4" s="103">
        <f ca="1">IFERROR(__xludf.DUMMYFUNCTION("""COMPUTED_VALUE"""),54)</f>
        <v>54</v>
      </c>
      <c r="AI4" s="103">
        <f ca="1">IFERROR(__xludf.DUMMYFUNCTION("""COMPUTED_VALUE"""),0)</f>
        <v>0</v>
      </c>
      <c r="AJ4" s="103">
        <f ca="1">IFERROR(__xludf.DUMMYFUNCTION("""COMPUTED_VALUE"""),0)</f>
        <v>0</v>
      </c>
      <c r="AK4" s="103">
        <f ca="1">IFERROR(__xludf.DUMMYFUNCTION("""COMPUTED_VALUE"""),0)</f>
        <v>0</v>
      </c>
      <c r="AL4" s="103">
        <f ca="1">IFERROR(__xludf.DUMMYFUNCTION("""COMPUTED_VALUE"""),0)</f>
        <v>0</v>
      </c>
      <c r="AM4" s="103">
        <f ca="1">IFERROR(__xludf.DUMMYFUNCTION("""COMPUTED_VALUE"""),1)</f>
        <v>1</v>
      </c>
      <c r="AN4" s="103">
        <f ca="1">IFERROR(__xludf.DUMMYFUNCTION("""COMPUTED_VALUE"""),1)</f>
        <v>1</v>
      </c>
      <c r="AO4" s="103">
        <f ca="1">IFERROR(__xludf.DUMMYFUNCTION("""COMPUTED_VALUE"""),0)</f>
        <v>0</v>
      </c>
      <c r="AP4" s="103">
        <f ca="1">IFERROR(__xludf.DUMMYFUNCTION("""COMPUTED_VALUE"""),0)</f>
        <v>0</v>
      </c>
      <c r="AQ4" s="103">
        <f ca="1">IFERROR(__xludf.DUMMYFUNCTION("""COMPUTED_VALUE"""),27)</f>
        <v>27</v>
      </c>
      <c r="AR4" s="103">
        <f ca="1">IFERROR(__xludf.DUMMYFUNCTION("""COMPUTED_VALUE"""),27)</f>
        <v>27</v>
      </c>
      <c r="AS4" s="103">
        <f ca="1">IFERROR(__xludf.DUMMYFUNCTION("""COMPUTED_VALUE"""),5)</f>
        <v>5</v>
      </c>
      <c r="AT4" s="103">
        <f ca="1">IFERROR(__xludf.DUMMYFUNCTION("""COMPUTED_VALUE"""),5)</f>
        <v>5</v>
      </c>
      <c r="AU4" s="103">
        <f ca="1">IFERROR(__xludf.DUMMYFUNCTION("""COMPUTED_VALUE"""),0)</f>
        <v>0</v>
      </c>
      <c r="AV4" s="103">
        <f ca="1">IFERROR(__xludf.DUMMYFUNCTION("""COMPUTED_VALUE"""),0)</f>
        <v>0</v>
      </c>
      <c r="AW4" s="103">
        <f ca="1">IFERROR(__xludf.DUMMYFUNCTION("""COMPUTED_VALUE"""),2)</f>
        <v>2</v>
      </c>
      <c r="AX4" s="103">
        <f ca="1">IFERROR(__xludf.DUMMYFUNCTION("""COMPUTED_VALUE"""),2)</f>
        <v>2</v>
      </c>
      <c r="AY4" s="103">
        <f ca="1">IFERROR(__xludf.DUMMYFUNCTION("""COMPUTED_VALUE"""),0)</f>
        <v>0</v>
      </c>
      <c r="AZ4" s="103">
        <f ca="1">IFERROR(__xludf.DUMMYFUNCTION("""COMPUTED_VALUE"""),0)</f>
        <v>0</v>
      </c>
      <c r="BA4" s="103">
        <f ca="1">IFERROR(__xludf.DUMMYFUNCTION("""COMPUTED_VALUE"""),72)</f>
        <v>72</v>
      </c>
      <c r="BB4" s="103">
        <f ca="1">IFERROR(__xludf.DUMMYFUNCTION("""COMPUTED_VALUE"""),72)</f>
        <v>72</v>
      </c>
      <c r="BC4" s="103"/>
      <c r="BD4" s="103"/>
      <c r="BE4" s="103"/>
      <c r="BF4" s="103"/>
      <c r="BG4" s="103"/>
      <c r="BH4" s="103"/>
    </row>
    <row r="5" spans="1:67" ht="12.75">
      <c r="A5" s="638"/>
      <c r="B5" s="109" t="s">
        <v>21</v>
      </c>
      <c r="C5" s="110" t="s">
        <v>22</v>
      </c>
      <c r="D5" s="107">
        <f ca="1">IFERROR(__xludf.DUMMYFUNCTION("""COMPUTED_VALUE"""),44465.3117597685)</f>
        <v>44465.311759768498</v>
      </c>
      <c r="E5" s="103" t="str">
        <f ca="1">IFERROR(__xludf.DUMMYFUNCTION("""COMPUTED_VALUE"""),"p7@rtp.com")</f>
        <v>p7@rtp.com</v>
      </c>
      <c r="F5" s="103" t="str">
        <f ca="1">IFERROR(__xludf.DUMMYFUNCTION("""COMPUTED_VALUE"""),"rtp2021")</f>
        <v>rtp2021</v>
      </c>
      <c r="G5" s="103"/>
      <c r="H5" s="103" t="str">
        <f ca="1">IFERROR(__xludf.DUMMYFUNCTION("""COMPUTED_VALUE"""),"ภ.7")</f>
        <v>ภ.7</v>
      </c>
      <c r="I5" s="103">
        <f ca="1">IFERROR(__xludf.DUMMYFUNCTION("""COMPUTED_VALUE"""),0)</f>
        <v>0</v>
      </c>
      <c r="J5" s="103">
        <f ca="1">IFERROR(__xludf.DUMMYFUNCTION("""COMPUTED_VALUE"""),0)</f>
        <v>0</v>
      </c>
      <c r="K5" s="103">
        <f ca="1">IFERROR(__xludf.DUMMYFUNCTION("""COMPUTED_VALUE"""),0)</f>
        <v>0</v>
      </c>
      <c r="L5" s="103">
        <f ca="1">IFERROR(__xludf.DUMMYFUNCTION("""COMPUTED_VALUE"""),0)</f>
        <v>0</v>
      </c>
      <c r="M5" s="103">
        <f ca="1">IFERROR(__xludf.DUMMYFUNCTION("""COMPUTED_VALUE"""),4)</f>
        <v>4</v>
      </c>
      <c r="N5" s="103">
        <f ca="1">IFERROR(__xludf.DUMMYFUNCTION("""COMPUTED_VALUE"""),4)</f>
        <v>4</v>
      </c>
      <c r="O5" s="103">
        <f ca="1">IFERROR(__xludf.DUMMYFUNCTION("""COMPUTED_VALUE"""),0)</f>
        <v>0</v>
      </c>
      <c r="P5" s="103">
        <f ca="1">IFERROR(__xludf.DUMMYFUNCTION("""COMPUTED_VALUE"""),0)</f>
        <v>0</v>
      </c>
      <c r="Q5" s="103">
        <f ca="1">IFERROR(__xludf.DUMMYFUNCTION("""COMPUTED_VALUE"""),9)</f>
        <v>9</v>
      </c>
      <c r="R5" s="103">
        <f ca="1">IFERROR(__xludf.DUMMYFUNCTION("""COMPUTED_VALUE"""),9)</f>
        <v>9</v>
      </c>
      <c r="S5" s="103">
        <f ca="1">IFERROR(__xludf.DUMMYFUNCTION("""COMPUTED_VALUE"""),4)</f>
        <v>4</v>
      </c>
      <c r="T5" s="103">
        <f ca="1">IFERROR(__xludf.DUMMYFUNCTION("""COMPUTED_VALUE"""),10)</f>
        <v>10</v>
      </c>
      <c r="U5" s="103">
        <f ca="1">IFERROR(__xludf.DUMMYFUNCTION("""COMPUTED_VALUE"""),0)</f>
        <v>0</v>
      </c>
      <c r="V5" s="103">
        <f ca="1">IFERROR(__xludf.DUMMYFUNCTION("""COMPUTED_VALUE"""),0)</f>
        <v>0</v>
      </c>
      <c r="W5" s="103">
        <f ca="1">IFERROR(__xludf.DUMMYFUNCTION("""COMPUTED_VALUE"""),0)</f>
        <v>0</v>
      </c>
      <c r="X5" s="103">
        <f ca="1">IFERROR(__xludf.DUMMYFUNCTION("""COMPUTED_VALUE"""),0)</f>
        <v>0</v>
      </c>
      <c r="Y5" s="103">
        <f ca="1">IFERROR(__xludf.DUMMYFUNCTION("""COMPUTED_VALUE"""),0)</f>
        <v>0</v>
      </c>
      <c r="Z5" s="103">
        <f ca="1">IFERROR(__xludf.DUMMYFUNCTION("""COMPUTED_VALUE"""),0)</f>
        <v>0</v>
      </c>
      <c r="AA5" s="103">
        <f ca="1">IFERROR(__xludf.DUMMYFUNCTION("""COMPUTED_VALUE"""),0)</f>
        <v>0</v>
      </c>
      <c r="AB5" s="103">
        <f ca="1">IFERROR(__xludf.DUMMYFUNCTION("""COMPUTED_VALUE"""),0)</f>
        <v>0</v>
      </c>
      <c r="AC5" s="103">
        <f ca="1">IFERROR(__xludf.DUMMYFUNCTION("""COMPUTED_VALUE"""),19)</f>
        <v>19</v>
      </c>
      <c r="AD5" s="103">
        <f ca="1">IFERROR(__xludf.DUMMYFUNCTION("""COMPUTED_VALUE"""),20)</f>
        <v>20</v>
      </c>
      <c r="AE5" s="103">
        <f ca="1">IFERROR(__xludf.DUMMYFUNCTION("""COMPUTED_VALUE"""),25)</f>
        <v>25</v>
      </c>
      <c r="AF5" s="103">
        <f ca="1">IFERROR(__xludf.DUMMYFUNCTION("""COMPUTED_VALUE"""),24)</f>
        <v>24</v>
      </c>
      <c r="AG5" s="103">
        <f ca="1">IFERROR(__xludf.DUMMYFUNCTION("""COMPUTED_VALUE"""),39)</f>
        <v>39</v>
      </c>
      <c r="AH5" s="103">
        <f ca="1">IFERROR(__xludf.DUMMYFUNCTION("""COMPUTED_VALUE"""),39)</f>
        <v>39</v>
      </c>
      <c r="AI5" s="103">
        <f ca="1">IFERROR(__xludf.DUMMYFUNCTION("""COMPUTED_VALUE"""),0)</f>
        <v>0</v>
      </c>
      <c r="AJ5" s="103">
        <f ca="1">IFERROR(__xludf.DUMMYFUNCTION("""COMPUTED_VALUE"""),0)</f>
        <v>0</v>
      </c>
      <c r="AK5" s="103">
        <f ca="1">IFERROR(__xludf.DUMMYFUNCTION("""COMPUTED_VALUE"""),2)</f>
        <v>2</v>
      </c>
      <c r="AL5" s="103">
        <f ca="1">IFERROR(__xludf.DUMMYFUNCTION("""COMPUTED_VALUE"""),2)</f>
        <v>2</v>
      </c>
      <c r="AM5" s="103">
        <f ca="1">IFERROR(__xludf.DUMMYFUNCTION("""COMPUTED_VALUE"""),27)</f>
        <v>27</v>
      </c>
      <c r="AN5" s="103">
        <f ca="1">IFERROR(__xludf.DUMMYFUNCTION("""COMPUTED_VALUE"""),36)</f>
        <v>36</v>
      </c>
      <c r="AO5" s="103">
        <f ca="1">IFERROR(__xludf.DUMMYFUNCTION("""COMPUTED_VALUE"""),0)</f>
        <v>0</v>
      </c>
      <c r="AP5" s="103">
        <f ca="1">IFERROR(__xludf.DUMMYFUNCTION("""COMPUTED_VALUE"""),0)</f>
        <v>0</v>
      </c>
      <c r="AQ5" s="103">
        <f ca="1">IFERROR(__xludf.DUMMYFUNCTION("""COMPUTED_VALUE"""),9)</f>
        <v>9</v>
      </c>
      <c r="AR5" s="103">
        <f ca="1">IFERROR(__xludf.DUMMYFUNCTION("""COMPUTED_VALUE"""),9)</f>
        <v>9</v>
      </c>
      <c r="AS5" s="103">
        <f ca="1">IFERROR(__xludf.DUMMYFUNCTION("""COMPUTED_VALUE"""),3)</f>
        <v>3</v>
      </c>
      <c r="AT5" s="103">
        <f ca="1">IFERROR(__xludf.DUMMYFUNCTION("""COMPUTED_VALUE"""),3)</f>
        <v>3</v>
      </c>
      <c r="AU5" s="103">
        <f ca="1">IFERROR(__xludf.DUMMYFUNCTION("""COMPUTED_VALUE"""),0)</f>
        <v>0</v>
      </c>
      <c r="AV5" s="103">
        <f ca="1">IFERROR(__xludf.DUMMYFUNCTION("""COMPUTED_VALUE"""),0)</f>
        <v>0</v>
      </c>
      <c r="AW5" s="103">
        <f ca="1">IFERROR(__xludf.DUMMYFUNCTION("""COMPUTED_VALUE"""),0)</f>
        <v>0</v>
      </c>
      <c r="AX5" s="103">
        <f ca="1">IFERROR(__xludf.DUMMYFUNCTION("""COMPUTED_VALUE"""),0)</f>
        <v>0</v>
      </c>
      <c r="AY5" s="103">
        <f ca="1">IFERROR(__xludf.DUMMYFUNCTION("""COMPUTED_VALUE"""),0)</f>
        <v>0</v>
      </c>
      <c r="AZ5" s="103">
        <f ca="1">IFERROR(__xludf.DUMMYFUNCTION("""COMPUTED_VALUE"""),0)</f>
        <v>0</v>
      </c>
      <c r="BA5" s="103">
        <f ca="1">IFERROR(__xludf.DUMMYFUNCTION("""COMPUTED_VALUE"""),32)</f>
        <v>32</v>
      </c>
      <c r="BB5" s="103">
        <f ca="1">IFERROR(__xludf.DUMMYFUNCTION("""COMPUTED_VALUE"""),32)</f>
        <v>32</v>
      </c>
      <c r="BC5" s="103"/>
      <c r="BD5" s="103"/>
      <c r="BE5" s="103"/>
      <c r="BF5" s="103"/>
      <c r="BG5" s="103"/>
      <c r="BH5" s="103"/>
    </row>
    <row r="6" spans="1:67" ht="12.75">
      <c r="A6" s="111" t="s">
        <v>23</v>
      </c>
      <c r="B6" s="112"/>
      <c r="C6" s="113"/>
      <c r="D6" s="107">
        <f ca="1">IFERROR(__xludf.DUMMYFUNCTION("""COMPUTED_VALUE"""),44466.3089480439)</f>
        <v>44466.308948043901</v>
      </c>
      <c r="E6" s="103" t="str">
        <f ca="1">IFERROR(__xludf.DUMMYFUNCTION("""COMPUTED_VALUE"""),"p7@rtp.com")</f>
        <v>p7@rtp.com</v>
      </c>
      <c r="F6" s="103" t="str">
        <f ca="1">IFERROR(__xludf.DUMMYFUNCTION("""COMPUTED_VALUE"""),"rtp2021")</f>
        <v>rtp2021</v>
      </c>
      <c r="G6" s="103"/>
      <c r="H6" s="103" t="str">
        <f ca="1">IFERROR(__xludf.DUMMYFUNCTION("""COMPUTED_VALUE"""),"ภ.7")</f>
        <v>ภ.7</v>
      </c>
      <c r="I6" s="103">
        <f ca="1">IFERROR(__xludf.DUMMYFUNCTION("""COMPUTED_VALUE"""),1)</f>
        <v>1</v>
      </c>
      <c r="J6" s="103">
        <f ca="1">IFERROR(__xludf.DUMMYFUNCTION("""COMPUTED_VALUE"""),23)</f>
        <v>23</v>
      </c>
      <c r="K6" s="103">
        <f ca="1">IFERROR(__xludf.DUMMYFUNCTION("""COMPUTED_VALUE"""),1)</f>
        <v>1</v>
      </c>
      <c r="L6" s="103">
        <f ca="1">IFERROR(__xludf.DUMMYFUNCTION("""COMPUTED_VALUE"""),1)</f>
        <v>1</v>
      </c>
      <c r="M6" s="103">
        <f ca="1">IFERROR(__xludf.DUMMYFUNCTION("""COMPUTED_VALUE"""),14)</f>
        <v>14</v>
      </c>
      <c r="N6" s="103">
        <f ca="1">IFERROR(__xludf.DUMMYFUNCTION("""COMPUTED_VALUE"""),14)</f>
        <v>14</v>
      </c>
      <c r="O6" s="103">
        <f ca="1">IFERROR(__xludf.DUMMYFUNCTION("""COMPUTED_VALUE"""),0)</f>
        <v>0</v>
      </c>
      <c r="P6" s="103">
        <f ca="1">IFERROR(__xludf.DUMMYFUNCTION("""COMPUTED_VALUE"""),0)</f>
        <v>0</v>
      </c>
      <c r="Q6" s="103">
        <f ca="1">IFERROR(__xludf.DUMMYFUNCTION("""COMPUTED_VALUE"""),1)</f>
        <v>1</v>
      </c>
      <c r="R6" s="103">
        <f ca="1">IFERROR(__xludf.DUMMYFUNCTION("""COMPUTED_VALUE"""),1)</f>
        <v>1</v>
      </c>
      <c r="S6" s="103">
        <f ca="1">IFERROR(__xludf.DUMMYFUNCTION("""COMPUTED_VALUE"""),10)</f>
        <v>10</v>
      </c>
      <c r="T6" s="103">
        <f ca="1">IFERROR(__xludf.DUMMYFUNCTION("""COMPUTED_VALUE"""),36)</f>
        <v>36</v>
      </c>
      <c r="U6" s="103">
        <f ca="1">IFERROR(__xludf.DUMMYFUNCTION("""COMPUTED_VALUE"""),7)</f>
        <v>7</v>
      </c>
      <c r="V6" s="103">
        <f ca="1">IFERROR(__xludf.DUMMYFUNCTION("""COMPUTED_VALUE"""),7)</f>
        <v>7</v>
      </c>
      <c r="W6" s="103">
        <f ca="1">IFERROR(__xludf.DUMMYFUNCTION("""COMPUTED_VALUE"""),0)</f>
        <v>0</v>
      </c>
      <c r="X6" s="103">
        <f ca="1">IFERROR(__xludf.DUMMYFUNCTION("""COMPUTED_VALUE"""),0)</f>
        <v>0</v>
      </c>
      <c r="Y6" s="103">
        <f ca="1">IFERROR(__xludf.DUMMYFUNCTION("""COMPUTED_VALUE"""),0)</f>
        <v>0</v>
      </c>
      <c r="Z6" s="103">
        <f ca="1">IFERROR(__xludf.DUMMYFUNCTION("""COMPUTED_VALUE"""),0)</f>
        <v>0</v>
      </c>
      <c r="AA6" s="103">
        <f ca="1">IFERROR(__xludf.DUMMYFUNCTION("""COMPUTED_VALUE"""),1)</f>
        <v>1</v>
      </c>
      <c r="AB6" s="103">
        <f ca="1">IFERROR(__xludf.DUMMYFUNCTION("""COMPUTED_VALUE"""),2)</f>
        <v>2</v>
      </c>
      <c r="AC6" s="103">
        <f ca="1">IFERROR(__xludf.DUMMYFUNCTION("""COMPUTED_VALUE"""),12)</f>
        <v>12</v>
      </c>
      <c r="AD6" s="103">
        <f ca="1">IFERROR(__xludf.DUMMYFUNCTION("""COMPUTED_VALUE"""),13)</f>
        <v>13</v>
      </c>
      <c r="AE6" s="103">
        <f ca="1">IFERROR(__xludf.DUMMYFUNCTION("""COMPUTED_VALUE"""),21)</f>
        <v>21</v>
      </c>
      <c r="AF6" s="103">
        <f ca="1">IFERROR(__xludf.DUMMYFUNCTION("""COMPUTED_VALUE"""),21)</f>
        <v>21</v>
      </c>
      <c r="AG6" s="103">
        <f ca="1">IFERROR(__xludf.DUMMYFUNCTION("""COMPUTED_VALUE"""),24)</f>
        <v>24</v>
      </c>
      <c r="AH6" s="103">
        <f ca="1">IFERROR(__xludf.DUMMYFUNCTION("""COMPUTED_VALUE"""),24)</f>
        <v>24</v>
      </c>
      <c r="AI6" s="103">
        <f ca="1">IFERROR(__xludf.DUMMYFUNCTION("""COMPUTED_VALUE"""),0)</f>
        <v>0</v>
      </c>
      <c r="AJ6" s="103">
        <f ca="1">IFERROR(__xludf.DUMMYFUNCTION("""COMPUTED_VALUE"""),0)</f>
        <v>0</v>
      </c>
      <c r="AK6" s="103">
        <f ca="1">IFERROR(__xludf.DUMMYFUNCTION("""COMPUTED_VALUE"""),0)</f>
        <v>0</v>
      </c>
      <c r="AL6" s="103">
        <f ca="1">IFERROR(__xludf.DUMMYFUNCTION("""COMPUTED_VALUE"""),0)</f>
        <v>0</v>
      </c>
      <c r="AM6" s="103">
        <f ca="1">IFERROR(__xludf.DUMMYFUNCTION("""COMPUTED_VALUE"""),11)</f>
        <v>11</v>
      </c>
      <c r="AN6" s="103">
        <f ca="1">IFERROR(__xludf.DUMMYFUNCTION("""COMPUTED_VALUE"""),24)</f>
        <v>24</v>
      </c>
      <c r="AO6" s="103">
        <f ca="1">IFERROR(__xludf.DUMMYFUNCTION("""COMPUTED_VALUE"""),0)</f>
        <v>0</v>
      </c>
      <c r="AP6" s="103">
        <f ca="1">IFERROR(__xludf.DUMMYFUNCTION("""COMPUTED_VALUE"""),0)</f>
        <v>0</v>
      </c>
      <c r="AQ6" s="103">
        <f ca="1">IFERROR(__xludf.DUMMYFUNCTION("""COMPUTED_VALUE"""),6)</f>
        <v>6</v>
      </c>
      <c r="AR6" s="103">
        <f ca="1">IFERROR(__xludf.DUMMYFUNCTION("""COMPUTED_VALUE"""),6)</f>
        <v>6</v>
      </c>
      <c r="AS6" s="103">
        <f ca="1">IFERROR(__xludf.DUMMYFUNCTION("""COMPUTED_VALUE"""),1)</f>
        <v>1</v>
      </c>
      <c r="AT6" s="103">
        <f ca="1">IFERROR(__xludf.DUMMYFUNCTION("""COMPUTED_VALUE"""),1)</f>
        <v>1</v>
      </c>
      <c r="AU6" s="103">
        <f ca="1">IFERROR(__xludf.DUMMYFUNCTION("""COMPUTED_VALUE"""),0)</f>
        <v>0</v>
      </c>
      <c r="AV6" s="103">
        <f ca="1">IFERROR(__xludf.DUMMYFUNCTION("""COMPUTED_VALUE"""),0)</f>
        <v>0</v>
      </c>
      <c r="AW6" s="103">
        <f ca="1">IFERROR(__xludf.DUMMYFUNCTION("""COMPUTED_VALUE"""),2)</f>
        <v>2</v>
      </c>
      <c r="AX6" s="103">
        <f ca="1">IFERROR(__xludf.DUMMYFUNCTION("""COMPUTED_VALUE"""),2)</f>
        <v>2</v>
      </c>
      <c r="AY6" s="103">
        <f ca="1">IFERROR(__xludf.DUMMYFUNCTION("""COMPUTED_VALUE"""),0)</f>
        <v>0</v>
      </c>
      <c r="AZ6" s="103">
        <f ca="1">IFERROR(__xludf.DUMMYFUNCTION("""COMPUTED_VALUE"""),0)</f>
        <v>0</v>
      </c>
      <c r="BA6" s="103">
        <f ca="1">IFERROR(__xludf.DUMMYFUNCTION("""COMPUTED_VALUE"""),51)</f>
        <v>51</v>
      </c>
      <c r="BB6" s="103">
        <f ca="1">IFERROR(__xludf.DUMMYFUNCTION("""COMPUTED_VALUE"""),51)</f>
        <v>51</v>
      </c>
      <c r="BC6" s="103"/>
      <c r="BD6" s="103"/>
      <c r="BE6" s="103"/>
      <c r="BF6" s="103"/>
      <c r="BG6" s="103"/>
      <c r="BH6" s="103"/>
    </row>
    <row r="7" spans="1:67" ht="12.75">
      <c r="A7" s="114" t="s">
        <v>24</v>
      </c>
      <c r="B7" s="115">
        <f t="shared" ref="B7:C7" ca="1" si="0">SUM(I:I)</f>
        <v>2</v>
      </c>
      <c r="C7" s="116">
        <f t="shared" ca="1" si="0"/>
        <v>45</v>
      </c>
      <c r="D7" s="107">
        <f ca="1">IFERROR(__xludf.DUMMYFUNCTION("""COMPUTED_VALUE"""),44467.324205243)</f>
        <v>44467.324205243</v>
      </c>
      <c r="E7" s="103" t="str">
        <f ca="1">IFERROR(__xludf.DUMMYFUNCTION("""COMPUTED_VALUE"""),"p7@rtp.com")</f>
        <v>p7@rtp.com</v>
      </c>
      <c r="F7" s="103" t="str">
        <f ca="1">IFERROR(__xludf.DUMMYFUNCTION("""COMPUTED_VALUE"""),"rtp2021")</f>
        <v>rtp2021</v>
      </c>
      <c r="G7" s="103"/>
      <c r="H7" s="103" t="str">
        <f ca="1">IFERROR(__xludf.DUMMYFUNCTION("""COMPUTED_VALUE"""),"ภ.7")</f>
        <v>ภ.7</v>
      </c>
      <c r="I7" s="103">
        <f ca="1">IFERROR(__xludf.DUMMYFUNCTION("""COMPUTED_VALUE"""),0)</f>
        <v>0</v>
      </c>
      <c r="J7" s="103">
        <f ca="1">IFERROR(__xludf.DUMMYFUNCTION("""COMPUTED_VALUE"""),0)</f>
        <v>0</v>
      </c>
      <c r="K7" s="103">
        <f ca="1">IFERROR(__xludf.DUMMYFUNCTION("""COMPUTED_VALUE"""),0)</f>
        <v>0</v>
      </c>
      <c r="L7" s="103">
        <f ca="1">IFERROR(__xludf.DUMMYFUNCTION("""COMPUTED_VALUE"""),0)</f>
        <v>0</v>
      </c>
      <c r="M7" s="103">
        <f ca="1">IFERROR(__xludf.DUMMYFUNCTION("""COMPUTED_VALUE"""),10)</f>
        <v>10</v>
      </c>
      <c r="N7" s="103">
        <f ca="1">IFERROR(__xludf.DUMMYFUNCTION("""COMPUTED_VALUE"""),10)</f>
        <v>10</v>
      </c>
      <c r="O7" s="103">
        <f ca="1">IFERROR(__xludf.DUMMYFUNCTION("""COMPUTED_VALUE"""),0)</f>
        <v>0</v>
      </c>
      <c r="P7" s="103">
        <f ca="1">IFERROR(__xludf.DUMMYFUNCTION("""COMPUTED_VALUE"""),0)</f>
        <v>0</v>
      </c>
      <c r="Q7" s="103">
        <f ca="1">IFERROR(__xludf.DUMMYFUNCTION("""COMPUTED_VALUE"""),3)</f>
        <v>3</v>
      </c>
      <c r="R7" s="103">
        <f ca="1">IFERROR(__xludf.DUMMYFUNCTION("""COMPUTED_VALUE"""),3)</f>
        <v>3</v>
      </c>
      <c r="S7" s="103">
        <f ca="1">IFERROR(__xludf.DUMMYFUNCTION("""COMPUTED_VALUE"""),2)</f>
        <v>2</v>
      </c>
      <c r="T7" s="103">
        <f ca="1">IFERROR(__xludf.DUMMYFUNCTION("""COMPUTED_VALUE"""),4)</f>
        <v>4</v>
      </c>
      <c r="U7" s="103">
        <f ca="1">IFERROR(__xludf.DUMMYFUNCTION("""COMPUTED_VALUE"""),3)</f>
        <v>3</v>
      </c>
      <c r="V7" s="103">
        <f ca="1">IFERROR(__xludf.DUMMYFUNCTION("""COMPUTED_VALUE"""),3)</f>
        <v>3</v>
      </c>
      <c r="W7" s="103">
        <f ca="1">IFERROR(__xludf.DUMMYFUNCTION("""COMPUTED_VALUE"""),0)</f>
        <v>0</v>
      </c>
      <c r="X7" s="103">
        <f ca="1">IFERROR(__xludf.DUMMYFUNCTION("""COMPUTED_VALUE"""),0)</f>
        <v>0</v>
      </c>
      <c r="Y7" s="103">
        <f ca="1">IFERROR(__xludf.DUMMYFUNCTION("""COMPUTED_VALUE"""),0)</f>
        <v>0</v>
      </c>
      <c r="Z7" s="103">
        <f ca="1">IFERROR(__xludf.DUMMYFUNCTION("""COMPUTED_VALUE"""),0)</f>
        <v>0</v>
      </c>
      <c r="AA7" s="103">
        <f ca="1">IFERROR(__xludf.DUMMYFUNCTION("""COMPUTED_VALUE"""),5)</f>
        <v>5</v>
      </c>
      <c r="AB7" s="103">
        <f ca="1">IFERROR(__xludf.DUMMYFUNCTION("""COMPUTED_VALUE"""),5)</f>
        <v>5</v>
      </c>
      <c r="AC7" s="103">
        <f ca="1">IFERROR(__xludf.DUMMYFUNCTION("""COMPUTED_VALUE"""),24)</f>
        <v>24</v>
      </c>
      <c r="AD7" s="103">
        <f ca="1">IFERROR(__xludf.DUMMYFUNCTION("""COMPUTED_VALUE"""),23)</f>
        <v>23</v>
      </c>
      <c r="AE7" s="103">
        <f ca="1">IFERROR(__xludf.DUMMYFUNCTION("""COMPUTED_VALUE"""),25)</f>
        <v>25</v>
      </c>
      <c r="AF7" s="103">
        <f ca="1">IFERROR(__xludf.DUMMYFUNCTION("""COMPUTED_VALUE"""),26)</f>
        <v>26</v>
      </c>
      <c r="AG7" s="103">
        <f ca="1">IFERROR(__xludf.DUMMYFUNCTION("""COMPUTED_VALUE"""),34)</f>
        <v>34</v>
      </c>
      <c r="AH7" s="103">
        <f ca="1">IFERROR(__xludf.DUMMYFUNCTION("""COMPUTED_VALUE"""),34)</f>
        <v>34</v>
      </c>
      <c r="AI7" s="103">
        <f ca="1">IFERROR(__xludf.DUMMYFUNCTION("""COMPUTED_VALUE"""),0)</f>
        <v>0</v>
      </c>
      <c r="AJ7" s="103">
        <f ca="1">IFERROR(__xludf.DUMMYFUNCTION("""COMPUTED_VALUE"""),0)</f>
        <v>0</v>
      </c>
      <c r="AK7" s="103">
        <f ca="1">IFERROR(__xludf.DUMMYFUNCTION("""COMPUTED_VALUE"""),0)</f>
        <v>0</v>
      </c>
      <c r="AL7" s="103">
        <f ca="1">IFERROR(__xludf.DUMMYFUNCTION("""COMPUTED_VALUE"""),0)</f>
        <v>0</v>
      </c>
      <c r="AM7" s="103">
        <f ca="1">IFERROR(__xludf.DUMMYFUNCTION("""COMPUTED_VALUE"""),12)</f>
        <v>12</v>
      </c>
      <c r="AN7" s="103">
        <f ca="1">IFERROR(__xludf.DUMMYFUNCTION("""COMPUTED_VALUE"""),28)</f>
        <v>28</v>
      </c>
      <c r="AO7" s="103">
        <f ca="1">IFERROR(__xludf.DUMMYFUNCTION("""COMPUTED_VALUE"""),0)</f>
        <v>0</v>
      </c>
      <c r="AP7" s="103">
        <f ca="1">IFERROR(__xludf.DUMMYFUNCTION("""COMPUTED_VALUE"""),0)</f>
        <v>0</v>
      </c>
      <c r="AQ7" s="103">
        <f ca="1">IFERROR(__xludf.DUMMYFUNCTION("""COMPUTED_VALUE"""),20)</f>
        <v>20</v>
      </c>
      <c r="AR7" s="103">
        <f ca="1">IFERROR(__xludf.DUMMYFUNCTION("""COMPUTED_VALUE"""),20)</f>
        <v>20</v>
      </c>
      <c r="AS7" s="103">
        <f ca="1">IFERROR(__xludf.DUMMYFUNCTION("""COMPUTED_VALUE"""),6)</f>
        <v>6</v>
      </c>
      <c r="AT7" s="103">
        <f ca="1">IFERROR(__xludf.DUMMYFUNCTION("""COMPUTED_VALUE"""),6)</f>
        <v>6</v>
      </c>
      <c r="AU7" s="103">
        <f ca="1">IFERROR(__xludf.DUMMYFUNCTION("""COMPUTED_VALUE"""),0)</f>
        <v>0</v>
      </c>
      <c r="AV7" s="103">
        <f ca="1">IFERROR(__xludf.DUMMYFUNCTION("""COMPUTED_VALUE"""),0)</f>
        <v>0</v>
      </c>
      <c r="AW7" s="103">
        <f ca="1">IFERROR(__xludf.DUMMYFUNCTION("""COMPUTED_VALUE"""),1)</f>
        <v>1</v>
      </c>
      <c r="AX7" s="103">
        <f ca="1">IFERROR(__xludf.DUMMYFUNCTION("""COMPUTED_VALUE"""),0)</f>
        <v>0</v>
      </c>
      <c r="AY7" s="103">
        <f ca="1">IFERROR(__xludf.DUMMYFUNCTION("""COMPUTED_VALUE"""),0)</f>
        <v>0</v>
      </c>
      <c r="AZ7" s="103">
        <f ca="1">IFERROR(__xludf.DUMMYFUNCTION("""COMPUTED_VALUE"""),0)</f>
        <v>0</v>
      </c>
      <c r="BA7" s="103">
        <f ca="1">IFERROR(__xludf.DUMMYFUNCTION("""COMPUTED_VALUE"""),85)</f>
        <v>85</v>
      </c>
      <c r="BB7" s="103">
        <f ca="1">IFERROR(__xludf.DUMMYFUNCTION("""COMPUTED_VALUE"""),85)</f>
        <v>85</v>
      </c>
      <c r="BC7" s="103"/>
      <c r="BD7" s="103"/>
      <c r="BE7" s="103"/>
      <c r="BF7" s="103"/>
      <c r="BG7" s="103"/>
      <c r="BH7" s="103"/>
    </row>
    <row r="8" spans="1:67" ht="12.75">
      <c r="A8" s="114" t="s">
        <v>25</v>
      </c>
      <c r="B8" s="115"/>
      <c r="C8" s="116"/>
      <c r="D8" s="107">
        <f ca="1">IFERROR(__xludf.DUMMYFUNCTION("""COMPUTED_VALUE"""),44468.3180019097)</f>
        <v>44468.318001909698</v>
      </c>
      <c r="E8" s="103" t="str">
        <f ca="1">IFERROR(__xludf.DUMMYFUNCTION("""COMPUTED_VALUE"""),"p7@rtp.com")</f>
        <v>p7@rtp.com</v>
      </c>
      <c r="F8" s="103" t="str">
        <f ca="1">IFERROR(__xludf.DUMMYFUNCTION("""COMPUTED_VALUE"""),"rtp2021")</f>
        <v>rtp2021</v>
      </c>
      <c r="G8" s="103"/>
      <c r="H8" s="103" t="str">
        <f ca="1">IFERROR(__xludf.DUMMYFUNCTION("""COMPUTED_VALUE"""),"ภ.7")</f>
        <v>ภ.7</v>
      </c>
      <c r="I8" s="103">
        <f ca="1">IFERROR(__xludf.DUMMYFUNCTION("""COMPUTED_VALUE"""),1)</f>
        <v>1</v>
      </c>
      <c r="J8" s="103">
        <f ca="1">IFERROR(__xludf.DUMMYFUNCTION("""COMPUTED_VALUE"""),22)</f>
        <v>22</v>
      </c>
      <c r="K8" s="103">
        <f ca="1">IFERROR(__xludf.DUMMYFUNCTION("""COMPUTED_VALUE"""),0)</f>
        <v>0</v>
      </c>
      <c r="L8" s="103">
        <f ca="1">IFERROR(__xludf.DUMMYFUNCTION("""COMPUTED_VALUE"""),0)</f>
        <v>0</v>
      </c>
      <c r="M8" s="103">
        <f ca="1">IFERROR(__xludf.DUMMYFUNCTION("""COMPUTED_VALUE"""),2)</f>
        <v>2</v>
      </c>
      <c r="N8" s="103">
        <f ca="1">IFERROR(__xludf.DUMMYFUNCTION("""COMPUTED_VALUE"""),2)</f>
        <v>2</v>
      </c>
      <c r="O8" s="103">
        <f ca="1">IFERROR(__xludf.DUMMYFUNCTION("""COMPUTED_VALUE"""),0)</f>
        <v>0</v>
      </c>
      <c r="P8" s="103">
        <f ca="1">IFERROR(__xludf.DUMMYFUNCTION("""COMPUTED_VALUE"""),0)</f>
        <v>0</v>
      </c>
      <c r="Q8" s="103">
        <f ca="1">IFERROR(__xludf.DUMMYFUNCTION("""COMPUTED_VALUE"""),2)</f>
        <v>2</v>
      </c>
      <c r="R8" s="103">
        <f ca="1">IFERROR(__xludf.DUMMYFUNCTION("""COMPUTED_VALUE"""),2)</f>
        <v>2</v>
      </c>
      <c r="S8" s="103">
        <f ca="1">IFERROR(__xludf.DUMMYFUNCTION("""COMPUTED_VALUE"""),5)</f>
        <v>5</v>
      </c>
      <c r="T8" s="103">
        <f ca="1">IFERROR(__xludf.DUMMYFUNCTION("""COMPUTED_VALUE"""),17)</f>
        <v>17</v>
      </c>
      <c r="U8" s="103">
        <f ca="1">IFERROR(__xludf.DUMMYFUNCTION("""COMPUTED_VALUE"""),0)</f>
        <v>0</v>
      </c>
      <c r="V8" s="103">
        <f ca="1">IFERROR(__xludf.DUMMYFUNCTION("""COMPUTED_VALUE"""),0)</f>
        <v>0</v>
      </c>
      <c r="W8" s="103">
        <f ca="1">IFERROR(__xludf.DUMMYFUNCTION("""COMPUTED_VALUE"""),0)</f>
        <v>0</v>
      </c>
      <c r="X8" s="103">
        <f ca="1">IFERROR(__xludf.DUMMYFUNCTION("""COMPUTED_VALUE"""),0)</f>
        <v>0</v>
      </c>
      <c r="Y8" s="103">
        <f ca="1">IFERROR(__xludf.DUMMYFUNCTION("""COMPUTED_VALUE"""),0)</f>
        <v>0</v>
      </c>
      <c r="Z8" s="103">
        <f ca="1">IFERROR(__xludf.DUMMYFUNCTION("""COMPUTED_VALUE"""),0)</f>
        <v>0</v>
      </c>
      <c r="AA8" s="103">
        <f ca="1">IFERROR(__xludf.DUMMYFUNCTION("""COMPUTED_VALUE"""),2)</f>
        <v>2</v>
      </c>
      <c r="AB8" s="103">
        <f ca="1">IFERROR(__xludf.DUMMYFUNCTION("""COMPUTED_VALUE"""),3)</f>
        <v>3</v>
      </c>
      <c r="AC8" s="103">
        <f ca="1">IFERROR(__xludf.DUMMYFUNCTION("""COMPUTED_VALUE"""),34)</f>
        <v>34</v>
      </c>
      <c r="AD8" s="103">
        <f ca="1">IFERROR(__xludf.DUMMYFUNCTION("""COMPUTED_VALUE"""),36)</f>
        <v>36</v>
      </c>
      <c r="AE8" s="103">
        <f ca="1">IFERROR(__xludf.DUMMYFUNCTION("""COMPUTED_VALUE"""),45)</f>
        <v>45</v>
      </c>
      <c r="AF8" s="103">
        <f ca="1">IFERROR(__xludf.DUMMYFUNCTION("""COMPUTED_VALUE"""),44)</f>
        <v>44</v>
      </c>
      <c r="AG8" s="103">
        <f ca="1">IFERROR(__xludf.DUMMYFUNCTION("""COMPUTED_VALUE"""),43)</f>
        <v>43</v>
      </c>
      <c r="AH8" s="103">
        <f ca="1">IFERROR(__xludf.DUMMYFUNCTION("""COMPUTED_VALUE"""),43)</f>
        <v>43</v>
      </c>
      <c r="AI8" s="103">
        <f ca="1">IFERROR(__xludf.DUMMYFUNCTION("""COMPUTED_VALUE"""),0)</f>
        <v>0</v>
      </c>
      <c r="AJ8" s="103">
        <f ca="1">IFERROR(__xludf.DUMMYFUNCTION("""COMPUTED_VALUE"""),0)</f>
        <v>0</v>
      </c>
      <c r="AK8" s="103">
        <f ca="1">IFERROR(__xludf.DUMMYFUNCTION("""COMPUTED_VALUE"""),1)</f>
        <v>1</v>
      </c>
      <c r="AL8" s="103">
        <f ca="1">IFERROR(__xludf.DUMMYFUNCTION("""COMPUTED_VALUE"""),1)</f>
        <v>1</v>
      </c>
      <c r="AM8" s="103">
        <f ca="1">IFERROR(__xludf.DUMMYFUNCTION("""COMPUTED_VALUE"""),4)</f>
        <v>4</v>
      </c>
      <c r="AN8" s="103">
        <f ca="1">IFERROR(__xludf.DUMMYFUNCTION("""COMPUTED_VALUE"""),11)</f>
        <v>11</v>
      </c>
      <c r="AO8" s="103">
        <f ca="1">IFERROR(__xludf.DUMMYFUNCTION("""COMPUTED_VALUE"""),0)</f>
        <v>0</v>
      </c>
      <c r="AP8" s="103">
        <f ca="1">IFERROR(__xludf.DUMMYFUNCTION("""COMPUTED_VALUE"""),0)</f>
        <v>0</v>
      </c>
      <c r="AQ8" s="103">
        <f ca="1">IFERROR(__xludf.DUMMYFUNCTION("""COMPUTED_VALUE"""),26)</f>
        <v>26</v>
      </c>
      <c r="AR8" s="103">
        <f ca="1">IFERROR(__xludf.DUMMYFUNCTION("""COMPUTED_VALUE"""),26)</f>
        <v>26</v>
      </c>
      <c r="AS8" s="103">
        <f ca="1">IFERROR(__xludf.DUMMYFUNCTION("""COMPUTED_VALUE"""),10)</f>
        <v>10</v>
      </c>
      <c r="AT8" s="103">
        <f ca="1">IFERROR(__xludf.DUMMYFUNCTION("""COMPUTED_VALUE"""),9)</f>
        <v>9</v>
      </c>
      <c r="AU8" s="103">
        <f ca="1">IFERROR(__xludf.DUMMYFUNCTION("""COMPUTED_VALUE"""),0)</f>
        <v>0</v>
      </c>
      <c r="AV8" s="103">
        <f ca="1">IFERROR(__xludf.DUMMYFUNCTION("""COMPUTED_VALUE"""),0)</f>
        <v>0</v>
      </c>
      <c r="AW8" s="103">
        <f ca="1">IFERROR(__xludf.DUMMYFUNCTION("""COMPUTED_VALUE"""),4)</f>
        <v>4</v>
      </c>
      <c r="AX8" s="103">
        <f ca="1">IFERROR(__xludf.DUMMYFUNCTION("""COMPUTED_VALUE"""),4)</f>
        <v>4</v>
      </c>
      <c r="AY8" s="103">
        <f ca="1">IFERROR(__xludf.DUMMYFUNCTION("""COMPUTED_VALUE"""),0)</f>
        <v>0</v>
      </c>
      <c r="AZ8" s="103">
        <f ca="1">IFERROR(__xludf.DUMMYFUNCTION("""COMPUTED_VALUE"""),0)</f>
        <v>0</v>
      </c>
      <c r="BA8" s="103">
        <f ca="1">IFERROR(__xludf.DUMMYFUNCTION("""COMPUTED_VALUE"""),75)</f>
        <v>75</v>
      </c>
      <c r="BB8" s="103">
        <f ca="1">IFERROR(__xludf.DUMMYFUNCTION("""COMPUTED_VALUE"""),75)</f>
        <v>75</v>
      </c>
      <c r="BC8" s="103"/>
      <c r="BD8" s="103"/>
      <c r="BE8" s="103"/>
      <c r="BF8" s="103"/>
      <c r="BG8" s="103"/>
      <c r="BH8" s="103"/>
    </row>
    <row r="9" spans="1:67" ht="12.75">
      <c r="A9" s="114" t="s">
        <v>26</v>
      </c>
      <c r="B9" s="115">
        <f t="shared" ref="B9:C9" ca="1" si="1">SUM(K:K)</f>
        <v>1</v>
      </c>
      <c r="C9" s="116">
        <f t="shared" ca="1" si="1"/>
        <v>1</v>
      </c>
      <c r="D9" s="107">
        <f ca="1">IFERROR(__xludf.DUMMYFUNCTION("""COMPUTED_VALUE"""),44469.3029169213)</f>
        <v>44469.302916921297</v>
      </c>
      <c r="E9" s="103" t="str">
        <f ca="1">IFERROR(__xludf.DUMMYFUNCTION("""COMPUTED_VALUE"""),"p7@rtp.com")</f>
        <v>p7@rtp.com</v>
      </c>
      <c r="F9" s="103" t="str">
        <f ca="1">IFERROR(__xludf.DUMMYFUNCTION("""COMPUTED_VALUE"""),"rtp2021")</f>
        <v>rtp2021</v>
      </c>
      <c r="G9" s="103"/>
      <c r="H9" s="103" t="str">
        <f ca="1">IFERROR(__xludf.DUMMYFUNCTION("""COMPUTED_VALUE"""),"ภ.7")</f>
        <v>ภ.7</v>
      </c>
      <c r="I9" s="103">
        <f ca="1">IFERROR(__xludf.DUMMYFUNCTION("""COMPUTED_VALUE"""),0)</f>
        <v>0</v>
      </c>
      <c r="J9" s="103">
        <f ca="1">IFERROR(__xludf.DUMMYFUNCTION("""COMPUTED_VALUE"""),0)</f>
        <v>0</v>
      </c>
      <c r="K9" s="103">
        <f ca="1">IFERROR(__xludf.DUMMYFUNCTION("""COMPUTED_VALUE"""),0)</f>
        <v>0</v>
      </c>
      <c r="L9" s="103">
        <f ca="1">IFERROR(__xludf.DUMMYFUNCTION("""COMPUTED_VALUE"""),0)</f>
        <v>0</v>
      </c>
      <c r="M9" s="103">
        <f ca="1">IFERROR(__xludf.DUMMYFUNCTION("""COMPUTED_VALUE"""),10)</f>
        <v>10</v>
      </c>
      <c r="N9" s="103">
        <f ca="1">IFERROR(__xludf.DUMMYFUNCTION("""COMPUTED_VALUE"""),10)</f>
        <v>10</v>
      </c>
      <c r="O9" s="103">
        <f ca="1">IFERROR(__xludf.DUMMYFUNCTION("""COMPUTED_VALUE"""),0)</f>
        <v>0</v>
      </c>
      <c r="P9" s="103">
        <f ca="1">IFERROR(__xludf.DUMMYFUNCTION("""COMPUTED_VALUE"""),0)</f>
        <v>0</v>
      </c>
      <c r="Q9" s="103">
        <f ca="1">IFERROR(__xludf.DUMMYFUNCTION("""COMPUTED_VALUE"""),1)</f>
        <v>1</v>
      </c>
      <c r="R9" s="103">
        <f ca="1">IFERROR(__xludf.DUMMYFUNCTION("""COMPUTED_VALUE"""),1)</f>
        <v>1</v>
      </c>
      <c r="S9" s="103">
        <f ca="1">IFERROR(__xludf.DUMMYFUNCTION("""COMPUTED_VALUE"""),1)</f>
        <v>1</v>
      </c>
      <c r="T9" s="103">
        <f ca="1">IFERROR(__xludf.DUMMYFUNCTION("""COMPUTED_VALUE"""),2)</f>
        <v>2</v>
      </c>
      <c r="U9" s="103">
        <f ca="1">IFERROR(__xludf.DUMMYFUNCTION("""COMPUTED_VALUE"""),1)</f>
        <v>1</v>
      </c>
      <c r="V9" s="103">
        <f ca="1">IFERROR(__xludf.DUMMYFUNCTION("""COMPUTED_VALUE"""),1)</f>
        <v>1</v>
      </c>
      <c r="W9" s="103">
        <f ca="1">IFERROR(__xludf.DUMMYFUNCTION("""COMPUTED_VALUE"""),0)</f>
        <v>0</v>
      </c>
      <c r="X9" s="103">
        <f ca="1">IFERROR(__xludf.DUMMYFUNCTION("""COMPUTED_VALUE"""),0)</f>
        <v>0</v>
      </c>
      <c r="Y9" s="103">
        <f ca="1">IFERROR(__xludf.DUMMYFUNCTION("""COMPUTED_VALUE"""),0)</f>
        <v>0</v>
      </c>
      <c r="Z9" s="103">
        <f ca="1">IFERROR(__xludf.DUMMYFUNCTION("""COMPUTED_VALUE"""),0)</f>
        <v>0</v>
      </c>
      <c r="AA9" s="103">
        <f ca="1">IFERROR(__xludf.DUMMYFUNCTION("""COMPUTED_VALUE"""),1)</f>
        <v>1</v>
      </c>
      <c r="AB9" s="103">
        <f ca="1">IFERROR(__xludf.DUMMYFUNCTION("""COMPUTED_VALUE"""),2)</f>
        <v>2</v>
      </c>
      <c r="AC9" s="103">
        <f ca="1">IFERROR(__xludf.DUMMYFUNCTION("""COMPUTED_VALUE"""),15)</f>
        <v>15</v>
      </c>
      <c r="AD9" s="103">
        <f ca="1">IFERROR(__xludf.DUMMYFUNCTION("""COMPUTED_VALUE"""),15)</f>
        <v>15</v>
      </c>
      <c r="AE9" s="103">
        <f ca="1">IFERROR(__xludf.DUMMYFUNCTION("""COMPUTED_VALUE"""),21)</f>
        <v>21</v>
      </c>
      <c r="AF9" s="103">
        <f ca="1">IFERROR(__xludf.DUMMYFUNCTION("""COMPUTED_VALUE"""),21)</f>
        <v>21</v>
      </c>
      <c r="AG9" s="103">
        <f ca="1">IFERROR(__xludf.DUMMYFUNCTION("""COMPUTED_VALUE"""),35)</f>
        <v>35</v>
      </c>
      <c r="AH9" s="103">
        <f ca="1">IFERROR(__xludf.DUMMYFUNCTION("""COMPUTED_VALUE"""),35)</f>
        <v>35</v>
      </c>
      <c r="AI9" s="103">
        <f ca="1">IFERROR(__xludf.DUMMYFUNCTION("""COMPUTED_VALUE"""),0)</f>
        <v>0</v>
      </c>
      <c r="AJ9" s="103">
        <f ca="1">IFERROR(__xludf.DUMMYFUNCTION("""COMPUTED_VALUE"""),0)</f>
        <v>0</v>
      </c>
      <c r="AK9" s="103">
        <f ca="1">IFERROR(__xludf.DUMMYFUNCTION("""COMPUTED_VALUE"""),0)</f>
        <v>0</v>
      </c>
      <c r="AL9" s="103">
        <f ca="1">IFERROR(__xludf.DUMMYFUNCTION("""COMPUTED_VALUE"""),0)</f>
        <v>0</v>
      </c>
      <c r="AM9" s="103">
        <f ca="1">IFERROR(__xludf.DUMMYFUNCTION("""COMPUTED_VALUE"""),13)</f>
        <v>13</v>
      </c>
      <c r="AN9" s="103">
        <f ca="1">IFERROR(__xludf.DUMMYFUNCTION("""COMPUTED_VALUE"""),14)</f>
        <v>14</v>
      </c>
      <c r="AO9" s="103">
        <f ca="1">IFERROR(__xludf.DUMMYFUNCTION("""COMPUTED_VALUE"""),0)</f>
        <v>0</v>
      </c>
      <c r="AP9" s="103">
        <f ca="1">IFERROR(__xludf.DUMMYFUNCTION("""COMPUTED_VALUE"""),0)</f>
        <v>0</v>
      </c>
      <c r="AQ9" s="103">
        <f ca="1">IFERROR(__xludf.DUMMYFUNCTION("""COMPUTED_VALUE"""),17)</f>
        <v>17</v>
      </c>
      <c r="AR9" s="103">
        <f ca="1">IFERROR(__xludf.DUMMYFUNCTION("""COMPUTED_VALUE"""),17)</f>
        <v>17</v>
      </c>
      <c r="AS9" s="103">
        <f ca="1">IFERROR(__xludf.DUMMYFUNCTION("""COMPUTED_VALUE"""),5)</f>
        <v>5</v>
      </c>
      <c r="AT9" s="103">
        <f ca="1">IFERROR(__xludf.DUMMYFUNCTION("""COMPUTED_VALUE"""),5)</f>
        <v>5</v>
      </c>
      <c r="AU9" s="103">
        <f ca="1">IFERROR(__xludf.DUMMYFUNCTION("""COMPUTED_VALUE"""),0)</f>
        <v>0</v>
      </c>
      <c r="AV9" s="103">
        <f ca="1">IFERROR(__xludf.DUMMYFUNCTION("""COMPUTED_VALUE"""),0)</f>
        <v>0</v>
      </c>
      <c r="AW9" s="103">
        <f ca="1">IFERROR(__xludf.DUMMYFUNCTION("""COMPUTED_VALUE"""),1)</f>
        <v>1</v>
      </c>
      <c r="AX9" s="103">
        <f ca="1">IFERROR(__xludf.DUMMYFUNCTION("""COMPUTED_VALUE"""),1)</f>
        <v>1</v>
      </c>
      <c r="AY9" s="103">
        <f ca="1">IFERROR(__xludf.DUMMYFUNCTION("""COMPUTED_VALUE"""),0)</f>
        <v>0</v>
      </c>
      <c r="AZ9" s="103">
        <f ca="1">IFERROR(__xludf.DUMMYFUNCTION("""COMPUTED_VALUE"""),0)</f>
        <v>0</v>
      </c>
      <c r="BA9" s="103">
        <f ca="1">IFERROR(__xludf.DUMMYFUNCTION("""COMPUTED_VALUE"""),40)</f>
        <v>40</v>
      </c>
      <c r="BB9" s="103">
        <f ca="1">IFERROR(__xludf.DUMMYFUNCTION("""COMPUTED_VALUE"""),40)</f>
        <v>40</v>
      </c>
      <c r="BC9" s="103"/>
      <c r="BD9" s="103"/>
      <c r="BE9" s="103"/>
      <c r="BF9" s="103"/>
      <c r="BG9" s="103"/>
      <c r="BH9" s="103"/>
    </row>
    <row r="10" spans="1:67" ht="12.75">
      <c r="A10" s="114" t="s">
        <v>27</v>
      </c>
      <c r="B10" s="115">
        <f t="shared" ref="B10:C10" ca="1" si="2">SUM(M:M)</f>
        <v>53</v>
      </c>
      <c r="C10" s="116">
        <f t="shared" ca="1" si="2"/>
        <v>53</v>
      </c>
      <c r="D10" s="107">
        <f ca="1">IFERROR(__xludf.DUMMYFUNCTION("""COMPUTED_VALUE"""),44470.3150835416)</f>
        <v>44470.315083541602</v>
      </c>
      <c r="E10" s="103" t="str">
        <f ca="1">IFERROR(__xludf.DUMMYFUNCTION("""COMPUTED_VALUE"""),"p7@rtp.com")</f>
        <v>p7@rtp.com</v>
      </c>
      <c r="F10" s="103" t="str">
        <f ca="1">IFERROR(__xludf.DUMMYFUNCTION("""COMPUTED_VALUE"""),"rtp2021")</f>
        <v>rtp2021</v>
      </c>
      <c r="G10" s="103"/>
      <c r="H10" s="103" t="str">
        <f ca="1">IFERROR(__xludf.DUMMYFUNCTION("""COMPUTED_VALUE"""),"ภ.7")</f>
        <v>ภ.7</v>
      </c>
      <c r="I10" s="103">
        <f ca="1">IFERROR(__xludf.DUMMYFUNCTION("""COMPUTED_VALUE"""),0)</f>
        <v>0</v>
      </c>
      <c r="J10" s="103">
        <f ca="1">IFERROR(__xludf.DUMMYFUNCTION("""COMPUTED_VALUE"""),0)</f>
        <v>0</v>
      </c>
      <c r="K10" s="103">
        <f ca="1">IFERROR(__xludf.DUMMYFUNCTION("""COMPUTED_VALUE"""),0)</f>
        <v>0</v>
      </c>
      <c r="L10" s="103">
        <f ca="1">IFERROR(__xludf.DUMMYFUNCTION("""COMPUTED_VALUE"""),0)</f>
        <v>0</v>
      </c>
      <c r="M10" s="103">
        <f ca="1">IFERROR(__xludf.DUMMYFUNCTION("""COMPUTED_VALUE"""),5)</f>
        <v>5</v>
      </c>
      <c r="N10" s="103">
        <f ca="1">IFERROR(__xludf.DUMMYFUNCTION("""COMPUTED_VALUE"""),5)</f>
        <v>5</v>
      </c>
      <c r="O10" s="103">
        <f ca="1">IFERROR(__xludf.DUMMYFUNCTION("""COMPUTED_VALUE"""),0)</f>
        <v>0</v>
      </c>
      <c r="P10" s="103">
        <f ca="1">IFERROR(__xludf.DUMMYFUNCTION("""COMPUTED_VALUE"""),0)</f>
        <v>0</v>
      </c>
      <c r="Q10" s="103">
        <f ca="1">IFERROR(__xludf.DUMMYFUNCTION("""COMPUTED_VALUE"""),6)</f>
        <v>6</v>
      </c>
      <c r="R10" s="103">
        <f ca="1">IFERROR(__xludf.DUMMYFUNCTION("""COMPUTED_VALUE"""),6)</f>
        <v>6</v>
      </c>
      <c r="S10" s="103">
        <f ca="1">IFERROR(__xludf.DUMMYFUNCTION("""COMPUTED_VALUE"""),2)</f>
        <v>2</v>
      </c>
      <c r="T10" s="103">
        <f ca="1">IFERROR(__xludf.DUMMYFUNCTION("""COMPUTED_VALUE"""),8)</f>
        <v>8</v>
      </c>
      <c r="U10" s="103">
        <f ca="1">IFERROR(__xludf.DUMMYFUNCTION("""COMPUTED_VALUE"""),0)</f>
        <v>0</v>
      </c>
      <c r="V10" s="103">
        <f ca="1">IFERROR(__xludf.DUMMYFUNCTION("""COMPUTED_VALUE"""),0)</f>
        <v>0</v>
      </c>
      <c r="W10" s="103">
        <f ca="1">IFERROR(__xludf.DUMMYFUNCTION("""COMPUTED_VALUE"""),0)</f>
        <v>0</v>
      </c>
      <c r="X10" s="103">
        <f ca="1">IFERROR(__xludf.DUMMYFUNCTION("""COMPUTED_VALUE"""),0)</f>
        <v>0</v>
      </c>
      <c r="Y10" s="103">
        <f ca="1">IFERROR(__xludf.DUMMYFUNCTION("""COMPUTED_VALUE"""),0)</f>
        <v>0</v>
      </c>
      <c r="Z10" s="103">
        <f ca="1">IFERROR(__xludf.DUMMYFUNCTION("""COMPUTED_VALUE"""),0)</f>
        <v>0</v>
      </c>
      <c r="AA10" s="103">
        <f ca="1">IFERROR(__xludf.DUMMYFUNCTION("""COMPUTED_VALUE"""),0)</f>
        <v>0</v>
      </c>
      <c r="AB10" s="103">
        <f ca="1">IFERROR(__xludf.DUMMYFUNCTION("""COMPUTED_VALUE"""),0)</f>
        <v>0</v>
      </c>
      <c r="AC10" s="103">
        <f ca="1">IFERROR(__xludf.DUMMYFUNCTION("""COMPUTED_VALUE"""),17)</f>
        <v>17</v>
      </c>
      <c r="AD10" s="103">
        <f ca="1">IFERROR(__xludf.DUMMYFUNCTION("""COMPUTED_VALUE"""),17)</f>
        <v>17</v>
      </c>
      <c r="AE10" s="103">
        <f ca="1">IFERROR(__xludf.DUMMYFUNCTION("""COMPUTED_VALUE"""),16)</f>
        <v>16</v>
      </c>
      <c r="AF10" s="103">
        <f ca="1">IFERROR(__xludf.DUMMYFUNCTION("""COMPUTED_VALUE"""),17)</f>
        <v>17</v>
      </c>
      <c r="AG10" s="103">
        <f ca="1">IFERROR(__xludf.DUMMYFUNCTION("""COMPUTED_VALUE"""),22)</f>
        <v>22</v>
      </c>
      <c r="AH10" s="103">
        <f ca="1">IFERROR(__xludf.DUMMYFUNCTION("""COMPUTED_VALUE"""),22)</f>
        <v>22</v>
      </c>
      <c r="AI10" s="103">
        <f ca="1">IFERROR(__xludf.DUMMYFUNCTION("""COMPUTED_VALUE"""),0)</f>
        <v>0</v>
      </c>
      <c r="AJ10" s="103">
        <f ca="1">IFERROR(__xludf.DUMMYFUNCTION("""COMPUTED_VALUE"""),0)</f>
        <v>0</v>
      </c>
      <c r="AK10" s="103">
        <f ca="1">IFERROR(__xludf.DUMMYFUNCTION("""COMPUTED_VALUE"""),0)</f>
        <v>0</v>
      </c>
      <c r="AL10" s="103">
        <f ca="1">IFERROR(__xludf.DUMMYFUNCTION("""COMPUTED_VALUE"""),0)</f>
        <v>0</v>
      </c>
      <c r="AM10" s="103">
        <f ca="1">IFERROR(__xludf.DUMMYFUNCTION("""COMPUTED_VALUE"""),17)</f>
        <v>17</v>
      </c>
      <c r="AN10" s="103">
        <f ca="1">IFERROR(__xludf.DUMMYFUNCTION("""COMPUTED_VALUE"""),17)</f>
        <v>17</v>
      </c>
      <c r="AO10" s="103">
        <f ca="1">IFERROR(__xludf.DUMMYFUNCTION("""COMPUTED_VALUE"""),0)</f>
        <v>0</v>
      </c>
      <c r="AP10" s="103">
        <f ca="1">IFERROR(__xludf.DUMMYFUNCTION("""COMPUTED_VALUE"""),0)</f>
        <v>0</v>
      </c>
      <c r="AQ10" s="103">
        <f ca="1">IFERROR(__xludf.DUMMYFUNCTION("""COMPUTED_VALUE"""),10)</f>
        <v>10</v>
      </c>
      <c r="AR10" s="103">
        <f ca="1">IFERROR(__xludf.DUMMYFUNCTION("""COMPUTED_VALUE"""),10)</f>
        <v>10</v>
      </c>
      <c r="AS10" s="103">
        <f ca="1">IFERROR(__xludf.DUMMYFUNCTION("""COMPUTED_VALUE"""),1)</f>
        <v>1</v>
      </c>
      <c r="AT10" s="103">
        <f ca="1">IFERROR(__xludf.DUMMYFUNCTION("""COMPUTED_VALUE"""),1)</f>
        <v>1</v>
      </c>
      <c r="AU10" s="103">
        <f ca="1">IFERROR(__xludf.DUMMYFUNCTION("""COMPUTED_VALUE"""),0)</f>
        <v>0</v>
      </c>
      <c r="AV10" s="103">
        <f ca="1">IFERROR(__xludf.DUMMYFUNCTION("""COMPUTED_VALUE"""),0)</f>
        <v>0</v>
      </c>
      <c r="AW10" s="103">
        <f ca="1">IFERROR(__xludf.DUMMYFUNCTION("""COMPUTED_VALUE"""),0)</f>
        <v>0</v>
      </c>
      <c r="AX10" s="103">
        <f ca="1">IFERROR(__xludf.DUMMYFUNCTION("""COMPUTED_VALUE"""),0)</f>
        <v>0</v>
      </c>
      <c r="AY10" s="103">
        <f ca="1">IFERROR(__xludf.DUMMYFUNCTION("""COMPUTED_VALUE"""),0)</f>
        <v>0</v>
      </c>
      <c r="AZ10" s="103">
        <f ca="1">IFERROR(__xludf.DUMMYFUNCTION("""COMPUTED_VALUE"""),0)</f>
        <v>0</v>
      </c>
      <c r="BA10" s="103">
        <f ca="1">IFERROR(__xludf.DUMMYFUNCTION("""COMPUTED_VALUE"""),25)</f>
        <v>25</v>
      </c>
      <c r="BB10" s="103">
        <f ca="1">IFERROR(__xludf.DUMMYFUNCTION("""COMPUTED_VALUE"""),25)</f>
        <v>25</v>
      </c>
      <c r="BC10" s="103"/>
      <c r="BD10" s="103"/>
      <c r="BE10" s="103"/>
      <c r="BF10" s="103"/>
      <c r="BG10" s="103"/>
      <c r="BH10" s="103"/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0</v>
      </c>
      <c r="C12" s="116">
        <f t="shared" ca="1" si="3"/>
        <v>0</v>
      </c>
    </row>
    <row r="13" spans="1:67" ht="12.75">
      <c r="A13" s="114" t="s">
        <v>30</v>
      </c>
      <c r="B13" s="115">
        <f t="shared" ref="B13:C13" ca="1" si="4">SUM(Q:Q)</f>
        <v>23</v>
      </c>
      <c r="C13" s="116">
        <f t="shared" ca="1" si="4"/>
        <v>23</v>
      </c>
    </row>
    <row r="14" spans="1:67" ht="12.75">
      <c r="A14" s="114" t="s">
        <v>31</v>
      </c>
      <c r="B14" s="115">
        <f t="shared" ref="B14:C14" ca="1" si="5">SUM(S:S)</f>
        <v>27</v>
      </c>
      <c r="C14" s="116">
        <f t="shared" ca="1" si="5"/>
        <v>85</v>
      </c>
    </row>
    <row r="15" spans="1:67" ht="12.75">
      <c r="A15" s="117" t="s">
        <v>32</v>
      </c>
      <c r="B15" s="118">
        <f t="shared" ref="B15:C15" ca="1" si="6">SUM(B6:B14)</f>
        <v>106</v>
      </c>
      <c r="C15" s="119">
        <f t="shared" ca="1" si="6"/>
        <v>207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12</v>
      </c>
      <c r="C17" s="116">
        <f t="shared" ca="1" si="7"/>
        <v>12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15</v>
      </c>
      <c r="C20" s="116">
        <f t="shared" ca="1" si="10"/>
        <v>18</v>
      </c>
    </row>
    <row r="21" spans="1:3" ht="12.75">
      <c r="A21" s="114" t="s">
        <v>38</v>
      </c>
      <c r="B21" s="115">
        <f t="shared" ref="B21:C21" ca="1" si="11">SUM(AC:AC)</f>
        <v>159</v>
      </c>
      <c r="C21" s="116">
        <f t="shared" ca="1" si="11"/>
        <v>163</v>
      </c>
    </row>
    <row r="22" spans="1:3" ht="12.75">
      <c r="A22" s="114" t="s">
        <v>39</v>
      </c>
      <c r="B22" s="115">
        <f t="shared" ref="B22:C22" ca="1" si="12">SUM(AE:AE)</f>
        <v>188</v>
      </c>
      <c r="C22" s="116">
        <f t="shared" ca="1" si="12"/>
        <v>190</v>
      </c>
    </row>
    <row r="23" spans="1:3" ht="12.75">
      <c r="A23" s="114" t="s">
        <v>40</v>
      </c>
      <c r="B23" s="115">
        <f t="shared" ref="B23:C23" ca="1" si="13">SUM(AG:AG)</f>
        <v>278</v>
      </c>
      <c r="C23" s="116">
        <f t="shared" ca="1" si="13"/>
        <v>278</v>
      </c>
    </row>
    <row r="24" spans="1:3" ht="12.75">
      <c r="A24" s="117" t="s">
        <v>32</v>
      </c>
      <c r="B24" s="118">
        <f t="shared" ref="B24:C24" ca="1" si="14">SUM(B17:B23)</f>
        <v>652</v>
      </c>
      <c r="C24" s="119">
        <f t="shared" ca="1" si="14"/>
        <v>661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3</v>
      </c>
      <c r="C27" s="116">
        <f t="shared" ca="1" si="16"/>
        <v>3</v>
      </c>
    </row>
    <row r="28" spans="1:3" ht="12.75">
      <c r="A28" s="114" t="s">
        <v>44</v>
      </c>
      <c r="B28" s="115">
        <f t="shared" ref="B28:C28" ca="1" si="17">SUM(AM:AM)</f>
        <v>87</v>
      </c>
      <c r="C28" s="116">
        <f t="shared" ca="1" si="17"/>
        <v>146</v>
      </c>
    </row>
    <row r="29" spans="1:3" ht="12.75">
      <c r="A29" s="117" t="s">
        <v>32</v>
      </c>
      <c r="B29" s="118">
        <f t="shared" ref="B29:C29" ca="1" si="18">SUM(B26:B28)</f>
        <v>90</v>
      </c>
      <c r="C29" s="119">
        <f t="shared" ca="1" si="18"/>
        <v>149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127</v>
      </c>
      <c r="C32" s="116">
        <f t="shared" ca="1" si="20"/>
        <v>127</v>
      </c>
    </row>
    <row r="33" spans="1:67" ht="12.75">
      <c r="A33" s="114" t="s">
        <v>48</v>
      </c>
      <c r="B33" s="115">
        <f t="shared" ref="B33:C33" ca="1" si="21">SUM(AS:AS)</f>
        <v>33</v>
      </c>
      <c r="C33" s="116">
        <f t="shared" ca="1" si="21"/>
        <v>32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10</v>
      </c>
      <c r="C35" s="116">
        <f t="shared" ca="1" si="23"/>
        <v>9</v>
      </c>
    </row>
    <row r="36" spans="1:67" ht="12.75">
      <c r="A36" s="117" t="s">
        <v>32</v>
      </c>
      <c r="B36" s="118">
        <f t="shared" ref="B36:C36" ca="1" si="24">SUM(B31:B35)</f>
        <v>170</v>
      </c>
      <c r="C36" s="119">
        <f t="shared" ca="1" si="24"/>
        <v>168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402</v>
      </c>
      <c r="C38" s="124">
        <f t="shared" ca="1" si="26"/>
        <v>402</v>
      </c>
    </row>
    <row r="39" spans="1:67" ht="15">
      <c r="A39" s="126" t="s">
        <v>20</v>
      </c>
      <c r="B39" s="127">
        <f t="shared" ref="B39:C39" ca="1" si="27">SUM(B15,B24,B29,B36,B37,B38)</f>
        <v>1420</v>
      </c>
      <c r="C39" s="128">
        <f t="shared" ca="1" si="27"/>
        <v>1587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/>
      <c r="C2" s="102" t="s">
        <v>72</v>
      </c>
      <c r="D2" s="103" t="str">
        <f ca="1">IFERROR(__xludf.DUMMYFUNCTION("QUERY('Form Responses 1'!A:BE,""select * where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3</v>
      </c>
      <c r="B3" s="105" t="s">
        <v>73</v>
      </c>
      <c r="C3" s="106" t="s">
        <v>73</v>
      </c>
      <c r="D3" s="107">
        <f ca="1">IFERROR(__xludf.DUMMYFUNCTION("""COMPUTED_VALUE"""),44463.3413090625)</f>
        <v>44463.341309062504</v>
      </c>
      <c r="E3" s="103" t="str">
        <f ca="1">IFERROR(__xludf.DUMMYFUNCTION("""COMPUTED_VALUE"""),"p8@rtp.com")</f>
        <v>p8@rtp.com</v>
      </c>
      <c r="F3" s="108" t="str">
        <f ca="1">IFERROR(__xludf.DUMMYFUNCTION("""COMPUTED_VALUE"""),"rtp2021")</f>
        <v>rtp2021</v>
      </c>
      <c r="G3" s="103"/>
      <c r="H3" s="108" t="str">
        <f ca="1">IFERROR(__xludf.DUMMYFUNCTION("""COMPUTED_VALUE"""),"ภ.8")</f>
        <v>ภ.8</v>
      </c>
      <c r="I3" s="108">
        <f ca="1">IFERROR(__xludf.DUMMYFUNCTION("""COMPUTED_VALUE"""),0)</f>
        <v>0</v>
      </c>
      <c r="J3" s="108">
        <f ca="1">IFERROR(__xludf.DUMMYFUNCTION("""COMPUTED_VALUE"""),0)</f>
        <v>0</v>
      </c>
      <c r="K3" s="108">
        <f ca="1">IFERROR(__xludf.DUMMYFUNCTION("""COMPUTED_VALUE"""),0)</f>
        <v>0</v>
      </c>
      <c r="L3" s="108">
        <f ca="1">IFERROR(__xludf.DUMMYFUNCTION("""COMPUTED_VALUE"""),0)</f>
        <v>0</v>
      </c>
      <c r="M3" s="108">
        <f ca="1">IFERROR(__xludf.DUMMYFUNCTION("""COMPUTED_VALUE"""),0)</f>
        <v>0</v>
      </c>
      <c r="N3" s="108">
        <f ca="1">IFERROR(__xludf.DUMMYFUNCTION("""COMPUTED_VALUE"""),0)</f>
        <v>0</v>
      </c>
      <c r="O3" s="108">
        <f ca="1">IFERROR(__xludf.DUMMYFUNCTION("""COMPUTED_VALUE"""),0)</f>
        <v>0</v>
      </c>
      <c r="P3" s="108">
        <f ca="1">IFERROR(__xludf.DUMMYFUNCTION("""COMPUTED_VALUE"""),0)</f>
        <v>0</v>
      </c>
      <c r="Q3" s="108">
        <f ca="1">IFERROR(__xludf.DUMMYFUNCTION("""COMPUTED_VALUE"""),0)</f>
        <v>0</v>
      </c>
      <c r="R3" s="108">
        <f ca="1">IFERROR(__xludf.DUMMYFUNCTION("""COMPUTED_VALUE"""),0)</f>
        <v>0</v>
      </c>
      <c r="S3" s="108">
        <f ca="1">IFERROR(__xludf.DUMMYFUNCTION("""COMPUTED_VALUE"""),2)</f>
        <v>2</v>
      </c>
      <c r="T3" s="108">
        <f ca="1">IFERROR(__xludf.DUMMYFUNCTION("""COMPUTED_VALUE"""),5)</f>
        <v>5</v>
      </c>
      <c r="U3" s="108">
        <f ca="1">IFERROR(__xludf.DUMMYFUNCTION("""COMPUTED_VALUE"""),5)</f>
        <v>5</v>
      </c>
      <c r="V3" s="108">
        <f ca="1">IFERROR(__xludf.DUMMYFUNCTION("""COMPUTED_VALUE"""),5)</f>
        <v>5</v>
      </c>
      <c r="W3" s="108">
        <f ca="1">IFERROR(__xludf.DUMMYFUNCTION("""COMPUTED_VALUE"""),0)</f>
        <v>0</v>
      </c>
      <c r="X3" s="108">
        <f ca="1">IFERROR(__xludf.DUMMYFUNCTION("""COMPUTED_VALUE"""),0)</f>
        <v>0</v>
      </c>
      <c r="Y3" s="108">
        <f ca="1">IFERROR(__xludf.DUMMYFUNCTION("""COMPUTED_VALUE"""),0)</f>
        <v>0</v>
      </c>
      <c r="Z3" s="108">
        <f ca="1">IFERROR(__xludf.DUMMYFUNCTION("""COMPUTED_VALUE"""),0)</f>
        <v>0</v>
      </c>
      <c r="AA3" s="108">
        <f ca="1">IFERROR(__xludf.DUMMYFUNCTION("""COMPUTED_VALUE"""),0)</f>
        <v>0</v>
      </c>
      <c r="AB3" s="108">
        <f ca="1">IFERROR(__xludf.DUMMYFUNCTION("""COMPUTED_VALUE"""),0)</f>
        <v>0</v>
      </c>
      <c r="AC3" s="108">
        <f ca="1">IFERROR(__xludf.DUMMYFUNCTION("""COMPUTED_VALUE"""),10)</f>
        <v>10</v>
      </c>
      <c r="AD3" s="108">
        <f ca="1">IFERROR(__xludf.DUMMYFUNCTION("""COMPUTED_VALUE"""),10)</f>
        <v>10</v>
      </c>
      <c r="AE3" s="108">
        <f ca="1">IFERROR(__xludf.DUMMYFUNCTION("""COMPUTED_VALUE"""),27)</f>
        <v>27</v>
      </c>
      <c r="AF3" s="108">
        <f ca="1">IFERROR(__xludf.DUMMYFUNCTION("""COMPUTED_VALUE"""),27)</f>
        <v>27</v>
      </c>
      <c r="AG3" s="108">
        <f ca="1">IFERROR(__xludf.DUMMYFUNCTION("""COMPUTED_VALUE"""),25)</f>
        <v>25</v>
      </c>
      <c r="AH3" s="108">
        <f ca="1">IFERROR(__xludf.DUMMYFUNCTION("""COMPUTED_VALUE"""),25)</f>
        <v>25</v>
      </c>
      <c r="AI3" s="108">
        <f ca="1">IFERROR(__xludf.DUMMYFUNCTION("""COMPUTED_VALUE"""),0)</f>
        <v>0</v>
      </c>
      <c r="AJ3" s="108">
        <f ca="1">IFERROR(__xludf.DUMMYFUNCTION("""COMPUTED_VALUE"""),0)</f>
        <v>0</v>
      </c>
      <c r="AK3" s="108">
        <f ca="1">IFERROR(__xludf.DUMMYFUNCTION("""COMPUTED_VALUE"""),0)</f>
        <v>0</v>
      </c>
      <c r="AL3" s="108">
        <f ca="1">IFERROR(__xludf.DUMMYFUNCTION("""COMPUTED_VALUE"""),0)</f>
        <v>0</v>
      </c>
      <c r="AM3" s="108">
        <f ca="1">IFERROR(__xludf.DUMMYFUNCTION("""COMPUTED_VALUE"""),0)</f>
        <v>0</v>
      </c>
      <c r="AN3" s="108">
        <f ca="1">IFERROR(__xludf.DUMMYFUNCTION("""COMPUTED_VALUE"""),0)</f>
        <v>0</v>
      </c>
      <c r="AO3" s="108">
        <f ca="1">IFERROR(__xludf.DUMMYFUNCTION("""COMPUTED_VALUE"""),0)</f>
        <v>0</v>
      </c>
      <c r="AP3" s="108">
        <f ca="1">IFERROR(__xludf.DUMMYFUNCTION("""COMPUTED_VALUE"""),0)</f>
        <v>0</v>
      </c>
      <c r="AQ3" s="108">
        <f ca="1">IFERROR(__xludf.DUMMYFUNCTION("""COMPUTED_VALUE"""),4)</f>
        <v>4</v>
      </c>
      <c r="AR3" s="108">
        <f ca="1">IFERROR(__xludf.DUMMYFUNCTION("""COMPUTED_VALUE"""),2)</f>
        <v>2</v>
      </c>
      <c r="AS3" s="108">
        <f ca="1">IFERROR(__xludf.DUMMYFUNCTION("""COMPUTED_VALUE"""),6)</f>
        <v>6</v>
      </c>
      <c r="AT3" s="108">
        <f ca="1">IFERROR(__xludf.DUMMYFUNCTION("""COMPUTED_VALUE"""),6)</f>
        <v>6</v>
      </c>
      <c r="AU3" s="108">
        <f ca="1">IFERROR(__xludf.DUMMYFUNCTION("""COMPUTED_VALUE"""),0)</f>
        <v>0</v>
      </c>
      <c r="AV3" s="108">
        <f ca="1">IFERROR(__xludf.DUMMYFUNCTION("""COMPUTED_VALUE"""),0)</f>
        <v>0</v>
      </c>
      <c r="AW3" s="108">
        <f ca="1">IFERROR(__xludf.DUMMYFUNCTION("""COMPUTED_VALUE"""),7)</f>
        <v>7</v>
      </c>
      <c r="AX3" s="108">
        <f ca="1">IFERROR(__xludf.DUMMYFUNCTION("""COMPUTED_VALUE"""),7)</f>
        <v>7</v>
      </c>
      <c r="AY3" s="108">
        <f ca="1">IFERROR(__xludf.DUMMYFUNCTION("""COMPUTED_VALUE"""),0)</f>
        <v>0</v>
      </c>
      <c r="AZ3" s="108">
        <f ca="1">IFERROR(__xludf.DUMMYFUNCTION("""COMPUTED_VALUE"""),0)</f>
        <v>0</v>
      </c>
      <c r="BA3" s="108">
        <f ca="1">IFERROR(__xludf.DUMMYFUNCTION("""COMPUTED_VALUE"""),26)</f>
        <v>26</v>
      </c>
      <c r="BB3" s="108">
        <f ca="1">IFERROR(__xludf.DUMMYFUNCTION("""COMPUTED_VALUE"""),26)</f>
        <v>26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  <c r="D4" s="107">
        <f ca="1">IFERROR(__xludf.DUMMYFUNCTION("""COMPUTED_VALUE"""),44464.315023287)</f>
        <v>44464.315023287003</v>
      </c>
      <c r="E4" s="103" t="str">
        <f ca="1">IFERROR(__xludf.DUMMYFUNCTION("""COMPUTED_VALUE"""),"p8@rtp.com")</f>
        <v>p8@rtp.com</v>
      </c>
      <c r="F4" s="103" t="str">
        <f ca="1">IFERROR(__xludf.DUMMYFUNCTION("""COMPUTED_VALUE"""),"rtp2021")</f>
        <v>rtp2021</v>
      </c>
      <c r="G4" s="103"/>
      <c r="H4" s="103" t="str">
        <f ca="1">IFERROR(__xludf.DUMMYFUNCTION("""COMPUTED_VALUE"""),"ภ.8")</f>
        <v>ภ.8</v>
      </c>
      <c r="I4" s="103">
        <f ca="1">IFERROR(__xludf.DUMMYFUNCTION("""COMPUTED_VALUE"""),0)</f>
        <v>0</v>
      </c>
      <c r="J4" s="103">
        <f ca="1">IFERROR(__xludf.DUMMYFUNCTION("""COMPUTED_VALUE"""),0)</f>
        <v>0</v>
      </c>
      <c r="K4" s="103">
        <f ca="1">IFERROR(__xludf.DUMMYFUNCTION("""COMPUTED_VALUE"""),0)</f>
        <v>0</v>
      </c>
      <c r="L4" s="103">
        <f ca="1">IFERROR(__xludf.DUMMYFUNCTION("""COMPUTED_VALUE"""),0)</f>
        <v>0</v>
      </c>
      <c r="M4" s="103">
        <f ca="1">IFERROR(__xludf.DUMMYFUNCTION("""COMPUTED_VALUE"""),1)</f>
        <v>1</v>
      </c>
      <c r="N4" s="103">
        <f ca="1">IFERROR(__xludf.DUMMYFUNCTION("""COMPUTED_VALUE"""),1)</f>
        <v>1</v>
      </c>
      <c r="O4" s="103">
        <f ca="1">IFERROR(__xludf.DUMMYFUNCTION("""COMPUTED_VALUE"""),0)</f>
        <v>0</v>
      </c>
      <c r="P4" s="103">
        <f ca="1">IFERROR(__xludf.DUMMYFUNCTION("""COMPUTED_VALUE"""),0)</f>
        <v>0</v>
      </c>
      <c r="Q4" s="103">
        <f ca="1">IFERROR(__xludf.DUMMYFUNCTION("""COMPUTED_VALUE"""),0)</f>
        <v>0</v>
      </c>
      <c r="R4" s="103">
        <f ca="1">IFERROR(__xludf.DUMMYFUNCTION("""COMPUTED_VALUE"""),0)</f>
        <v>0</v>
      </c>
      <c r="S4" s="103">
        <f ca="1">IFERROR(__xludf.DUMMYFUNCTION("""COMPUTED_VALUE"""),5)</f>
        <v>5</v>
      </c>
      <c r="T4" s="103">
        <f ca="1">IFERROR(__xludf.DUMMYFUNCTION("""COMPUTED_VALUE"""),15)</f>
        <v>15</v>
      </c>
      <c r="U4" s="103">
        <f ca="1">IFERROR(__xludf.DUMMYFUNCTION("""COMPUTED_VALUE"""),7)</f>
        <v>7</v>
      </c>
      <c r="V4" s="103">
        <f ca="1">IFERROR(__xludf.DUMMYFUNCTION("""COMPUTED_VALUE"""),7)</f>
        <v>7</v>
      </c>
      <c r="W4" s="103">
        <f ca="1">IFERROR(__xludf.DUMMYFUNCTION("""COMPUTED_VALUE"""),0)</f>
        <v>0</v>
      </c>
      <c r="X4" s="103">
        <f ca="1">IFERROR(__xludf.DUMMYFUNCTION("""COMPUTED_VALUE"""),0)</f>
        <v>0</v>
      </c>
      <c r="Y4" s="103">
        <f ca="1">IFERROR(__xludf.DUMMYFUNCTION("""COMPUTED_VALUE"""),0)</f>
        <v>0</v>
      </c>
      <c r="Z4" s="103">
        <f ca="1">IFERROR(__xludf.DUMMYFUNCTION("""COMPUTED_VALUE"""),0)</f>
        <v>0</v>
      </c>
      <c r="AA4" s="103">
        <f ca="1">IFERROR(__xludf.DUMMYFUNCTION("""COMPUTED_VALUE"""),1)</f>
        <v>1</v>
      </c>
      <c r="AB4" s="103">
        <f ca="1">IFERROR(__xludf.DUMMYFUNCTION("""COMPUTED_VALUE"""),1)</f>
        <v>1</v>
      </c>
      <c r="AC4" s="103">
        <f ca="1">IFERROR(__xludf.DUMMYFUNCTION("""COMPUTED_VALUE"""),24)</f>
        <v>24</v>
      </c>
      <c r="AD4" s="103">
        <f ca="1">IFERROR(__xludf.DUMMYFUNCTION("""COMPUTED_VALUE"""),24)</f>
        <v>24</v>
      </c>
      <c r="AE4" s="103">
        <f ca="1">IFERROR(__xludf.DUMMYFUNCTION("""COMPUTED_VALUE"""),28)</f>
        <v>28</v>
      </c>
      <c r="AF4" s="103">
        <f ca="1">IFERROR(__xludf.DUMMYFUNCTION("""COMPUTED_VALUE"""),28)</f>
        <v>28</v>
      </c>
      <c r="AG4" s="103">
        <f ca="1">IFERROR(__xludf.DUMMYFUNCTION("""COMPUTED_VALUE"""),30)</f>
        <v>30</v>
      </c>
      <c r="AH4" s="103">
        <f ca="1">IFERROR(__xludf.DUMMYFUNCTION("""COMPUTED_VALUE"""),30)</f>
        <v>30</v>
      </c>
      <c r="AI4" s="103">
        <f ca="1">IFERROR(__xludf.DUMMYFUNCTION("""COMPUTED_VALUE"""),0)</f>
        <v>0</v>
      </c>
      <c r="AJ4" s="103">
        <f ca="1">IFERROR(__xludf.DUMMYFUNCTION("""COMPUTED_VALUE"""),0)</f>
        <v>0</v>
      </c>
      <c r="AK4" s="103">
        <f ca="1">IFERROR(__xludf.DUMMYFUNCTION("""COMPUTED_VALUE"""),0)</f>
        <v>0</v>
      </c>
      <c r="AL4" s="103">
        <f ca="1">IFERROR(__xludf.DUMMYFUNCTION("""COMPUTED_VALUE"""),0)</f>
        <v>0</v>
      </c>
      <c r="AM4" s="103">
        <f ca="1">IFERROR(__xludf.DUMMYFUNCTION("""COMPUTED_VALUE"""),0)</f>
        <v>0</v>
      </c>
      <c r="AN4" s="103">
        <f ca="1">IFERROR(__xludf.DUMMYFUNCTION("""COMPUTED_VALUE"""),0)</f>
        <v>0</v>
      </c>
      <c r="AO4" s="103">
        <f ca="1">IFERROR(__xludf.DUMMYFUNCTION("""COMPUTED_VALUE"""),0)</f>
        <v>0</v>
      </c>
      <c r="AP4" s="103">
        <f ca="1">IFERROR(__xludf.DUMMYFUNCTION("""COMPUTED_VALUE"""),0)</f>
        <v>0</v>
      </c>
      <c r="AQ4" s="103">
        <f ca="1">IFERROR(__xludf.DUMMYFUNCTION("""COMPUTED_VALUE"""),8)</f>
        <v>8</v>
      </c>
      <c r="AR4" s="103">
        <f ca="1">IFERROR(__xludf.DUMMYFUNCTION("""COMPUTED_VALUE"""),8)</f>
        <v>8</v>
      </c>
      <c r="AS4" s="103">
        <f ca="1">IFERROR(__xludf.DUMMYFUNCTION("""COMPUTED_VALUE"""),2)</f>
        <v>2</v>
      </c>
      <c r="AT4" s="103">
        <f ca="1">IFERROR(__xludf.DUMMYFUNCTION("""COMPUTED_VALUE"""),2)</f>
        <v>2</v>
      </c>
      <c r="AU4" s="103">
        <f ca="1">IFERROR(__xludf.DUMMYFUNCTION("""COMPUTED_VALUE"""),0)</f>
        <v>0</v>
      </c>
      <c r="AV4" s="103">
        <f ca="1">IFERROR(__xludf.DUMMYFUNCTION("""COMPUTED_VALUE"""),0)</f>
        <v>0</v>
      </c>
      <c r="AW4" s="103">
        <f ca="1">IFERROR(__xludf.DUMMYFUNCTION("""COMPUTED_VALUE"""),12)</f>
        <v>12</v>
      </c>
      <c r="AX4" s="103">
        <f ca="1">IFERROR(__xludf.DUMMYFUNCTION("""COMPUTED_VALUE"""),12)</f>
        <v>12</v>
      </c>
      <c r="AY4" s="103">
        <f ca="1">IFERROR(__xludf.DUMMYFUNCTION("""COMPUTED_VALUE"""),0)</f>
        <v>0</v>
      </c>
      <c r="AZ4" s="103">
        <f ca="1">IFERROR(__xludf.DUMMYFUNCTION("""COMPUTED_VALUE"""),0)</f>
        <v>0</v>
      </c>
      <c r="BA4" s="103">
        <f ca="1">IFERROR(__xludf.DUMMYFUNCTION("""COMPUTED_VALUE"""),40)</f>
        <v>40</v>
      </c>
      <c r="BB4" s="103">
        <f ca="1">IFERROR(__xludf.DUMMYFUNCTION("""COMPUTED_VALUE"""),40)</f>
        <v>40</v>
      </c>
      <c r="BC4" s="103"/>
      <c r="BD4" s="103"/>
      <c r="BE4" s="103"/>
      <c r="BF4" s="103"/>
      <c r="BG4" s="103"/>
      <c r="BH4" s="103"/>
    </row>
    <row r="5" spans="1:67" ht="12.75">
      <c r="A5" s="638"/>
      <c r="B5" s="109" t="s">
        <v>21</v>
      </c>
      <c r="C5" s="110" t="s">
        <v>22</v>
      </c>
      <c r="D5" s="107">
        <f ca="1">IFERROR(__xludf.DUMMYFUNCTION("""COMPUTED_VALUE"""),44465.3095520138)</f>
        <v>44465.309552013801</v>
      </c>
      <c r="E5" s="103" t="str">
        <f ca="1">IFERROR(__xludf.DUMMYFUNCTION("""COMPUTED_VALUE"""),"p8@rtp.com")</f>
        <v>p8@rtp.com</v>
      </c>
      <c r="F5" s="103" t="str">
        <f ca="1">IFERROR(__xludf.DUMMYFUNCTION("""COMPUTED_VALUE"""),"rtp2021")</f>
        <v>rtp2021</v>
      </c>
      <c r="G5" s="103"/>
      <c r="H5" s="103" t="str">
        <f ca="1">IFERROR(__xludf.DUMMYFUNCTION("""COMPUTED_VALUE"""),"ภ.8")</f>
        <v>ภ.8</v>
      </c>
      <c r="I5" s="103">
        <f ca="1">IFERROR(__xludf.DUMMYFUNCTION("""COMPUTED_VALUE"""),0)</f>
        <v>0</v>
      </c>
      <c r="J5" s="103">
        <f ca="1">IFERROR(__xludf.DUMMYFUNCTION("""COMPUTED_VALUE"""),0)</f>
        <v>0</v>
      </c>
      <c r="K5" s="103">
        <f ca="1">IFERROR(__xludf.DUMMYFUNCTION("""COMPUTED_VALUE"""),0)</f>
        <v>0</v>
      </c>
      <c r="L5" s="103">
        <f ca="1">IFERROR(__xludf.DUMMYFUNCTION("""COMPUTED_VALUE"""),0)</f>
        <v>0</v>
      </c>
      <c r="M5" s="103">
        <f ca="1">IFERROR(__xludf.DUMMYFUNCTION("""COMPUTED_VALUE"""),3)</f>
        <v>3</v>
      </c>
      <c r="N5" s="103">
        <f ca="1">IFERROR(__xludf.DUMMYFUNCTION("""COMPUTED_VALUE"""),3)</f>
        <v>3</v>
      </c>
      <c r="O5" s="103">
        <f ca="1">IFERROR(__xludf.DUMMYFUNCTION("""COMPUTED_VALUE"""),0)</f>
        <v>0</v>
      </c>
      <c r="P5" s="103">
        <f ca="1">IFERROR(__xludf.DUMMYFUNCTION("""COMPUTED_VALUE"""),0)</f>
        <v>0</v>
      </c>
      <c r="Q5" s="103">
        <f ca="1">IFERROR(__xludf.DUMMYFUNCTION("""COMPUTED_VALUE"""),0)</f>
        <v>0</v>
      </c>
      <c r="R5" s="103">
        <f ca="1">IFERROR(__xludf.DUMMYFUNCTION("""COMPUTED_VALUE"""),0)</f>
        <v>0</v>
      </c>
      <c r="S5" s="103">
        <f ca="1">IFERROR(__xludf.DUMMYFUNCTION("""COMPUTED_VALUE"""),4)</f>
        <v>4</v>
      </c>
      <c r="T5" s="103">
        <f ca="1">IFERROR(__xludf.DUMMYFUNCTION("""COMPUTED_VALUE"""),6)</f>
        <v>6</v>
      </c>
      <c r="U5" s="103">
        <f ca="1">IFERROR(__xludf.DUMMYFUNCTION("""COMPUTED_VALUE"""),4)</f>
        <v>4</v>
      </c>
      <c r="V5" s="103">
        <f ca="1">IFERROR(__xludf.DUMMYFUNCTION("""COMPUTED_VALUE"""),4)</f>
        <v>4</v>
      </c>
      <c r="W5" s="103">
        <f ca="1">IFERROR(__xludf.DUMMYFUNCTION("""COMPUTED_VALUE"""),0)</f>
        <v>0</v>
      </c>
      <c r="X5" s="103">
        <f ca="1">IFERROR(__xludf.DUMMYFUNCTION("""COMPUTED_VALUE"""),0)</f>
        <v>0</v>
      </c>
      <c r="Y5" s="103">
        <f ca="1">IFERROR(__xludf.DUMMYFUNCTION("""COMPUTED_VALUE"""),0)</f>
        <v>0</v>
      </c>
      <c r="Z5" s="103">
        <f ca="1">IFERROR(__xludf.DUMMYFUNCTION("""COMPUTED_VALUE"""),0)</f>
        <v>0</v>
      </c>
      <c r="AA5" s="103">
        <f ca="1">IFERROR(__xludf.DUMMYFUNCTION("""COMPUTED_VALUE"""),0)</f>
        <v>0</v>
      </c>
      <c r="AB5" s="103">
        <f ca="1">IFERROR(__xludf.DUMMYFUNCTION("""COMPUTED_VALUE"""),0)</f>
        <v>0</v>
      </c>
      <c r="AC5" s="103">
        <f ca="1">IFERROR(__xludf.DUMMYFUNCTION("""COMPUTED_VALUE"""),21)</f>
        <v>21</v>
      </c>
      <c r="AD5" s="103">
        <f ca="1">IFERROR(__xludf.DUMMYFUNCTION("""COMPUTED_VALUE"""),24)</f>
        <v>24</v>
      </c>
      <c r="AE5" s="103">
        <f ca="1">IFERROR(__xludf.DUMMYFUNCTION("""COMPUTED_VALUE"""),23)</f>
        <v>23</v>
      </c>
      <c r="AF5" s="103">
        <f ca="1">IFERROR(__xludf.DUMMYFUNCTION("""COMPUTED_VALUE"""),23)</f>
        <v>23</v>
      </c>
      <c r="AG5" s="103">
        <f ca="1">IFERROR(__xludf.DUMMYFUNCTION("""COMPUTED_VALUE"""),32)</f>
        <v>32</v>
      </c>
      <c r="AH5" s="103">
        <f ca="1">IFERROR(__xludf.DUMMYFUNCTION("""COMPUTED_VALUE"""),32)</f>
        <v>32</v>
      </c>
      <c r="AI5" s="103">
        <f ca="1">IFERROR(__xludf.DUMMYFUNCTION("""COMPUTED_VALUE"""),0)</f>
        <v>0</v>
      </c>
      <c r="AJ5" s="103">
        <f ca="1">IFERROR(__xludf.DUMMYFUNCTION("""COMPUTED_VALUE"""),0)</f>
        <v>0</v>
      </c>
      <c r="AK5" s="103">
        <f ca="1">IFERROR(__xludf.DUMMYFUNCTION("""COMPUTED_VALUE"""),0)</f>
        <v>0</v>
      </c>
      <c r="AL5" s="103">
        <f ca="1">IFERROR(__xludf.DUMMYFUNCTION("""COMPUTED_VALUE"""),0)</f>
        <v>0</v>
      </c>
      <c r="AM5" s="103">
        <f ca="1">IFERROR(__xludf.DUMMYFUNCTION("""COMPUTED_VALUE"""),0)</f>
        <v>0</v>
      </c>
      <c r="AN5" s="103">
        <f ca="1">IFERROR(__xludf.DUMMYFUNCTION("""COMPUTED_VALUE"""),0)</f>
        <v>0</v>
      </c>
      <c r="AO5" s="103">
        <f ca="1">IFERROR(__xludf.DUMMYFUNCTION("""COMPUTED_VALUE"""),0)</f>
        <v>0</v>
      </c>
      <c r="AP5" s="103">
        <f ca="1">IFERROR(__xludf.DUMMYFUNCTION("""COMPUTED_VALUE"""),0)</f>
        <v>0</v>
      </c>
      <c r="AQ5" s="103">
        <f ca="1">IFERROR(__xludf.DUMMYFUNCTION("""COMPUTED_VALUE"""),9)</f>
        <v>9</v>
      </c>
      <c r="AR5" s="103">
        <f ca="1">IFERROR(__xludf.DUMMYFUNCTION("""COMPUTED_VALUE"""),9)</f>
        <v>9</v>
      </c>
      <c r="AS5" s="103">
        <f ca="1">IFERROR(__xludf.DUMMYFUNCTION("""COMPUTED_VALUE"""),3)</f>
        <v>3</v>
      </c>
      <c r="AT5" s="103">
        <f ca="1">IFERROR(__xludf.DUMMYFUNCTION("""COMPUTED_VALUE"""),3)</f>
        <v>3</v>
      </c>
      <c r="AU5" s="103">
        <f ca="1">IFERROR(__xludf.DUMMYFUNCTION("""COMPUTED_VALUE"""),0)</f>
        <v>0</v>
      </c>
      <c r="AV5" s="103">
        <f ca="1">IFERROR(__xludf.DUMMYFUNCTION("""COMPUTED_VALUE"""),0)</f>
        <v>0</v>
      </c>
      <c r="AW5" s="103">
        <f ca="1">IFERROR(__xludf.DUMMYFUNCTION("""COMPUTED_VALUE"""),10)</f>
        <v>10</v>
      </c>
      <c r="AX5" s="103">
        <f ca="1">IFERROR(__xludf.DUMMYFUNCTION("""COMPUTED_VALUE"""),9)</f>
        <v>9</v>
      </c>
      <c r="AY5" s="103">
        <f ca="1">IFERROR(__xludf.DUMMYFUNCTION("""COMPUTED_VALUE"""),0)</f>
        <v>0</v>
      </c>
      <c r="AZ5" s="103">
        <f ca="1">IFERROR(__xludf.DUMMYFUNCTION("""COMPUTED_VALUE"""),0)</f>
        <v>0</v>
      </c>
      <c r="BA5" s="103">
        <f ca="1">IFERROR(__xludf.DUMMYFUNCTION("""COMPUTED_VALUE"""),47)</f>
        <v>47</v>
      </c>
      <c r="BB5" s="103">
        <f ca="1">IFERROR(__xludf.DUMMYFUNCTION("""COMPUTED_VALUE"""),47)</f>
        <v>47</v>
      </c>
      <c r="BC5" s="103"/>
      <c r="BD5" s="103"/>
      <c r="BE5" s="103"/>
      <c r="BF5" s="103"/>
      <c r="BG5" s="103"/>
      <c r="BH5" s="103"/>
    </row>
    <row r="6" spans="1:67" ht="12.75">
      <c r="A6" s="111" t="s">
        <v>23</v>
      </c>
      <c r="B6" s="112"/>
      <c r="C6" s="113"/>
      <c r="D6" s="107">
        <f ca="1">IFERROR(__xludf.DUMMYFUNCTION("""COMPUTED_VALUE"""),44466.301894537)</f>
        <v>44466.301894536999</v>
      </c>
      <c r="E6" s="103" t="str">
        <f ca="1">IFERROR(__xludf.DUMMYFUNCTION("""COMPUTED_VALUE"""),"p8@rtp.com")</f>
        <v>p8@rtp.com</v>
      </c>
      <c r="F6" s="103" t="str">
        <f ca="1">IFERROR(__xludf.DUMMYFUNCTION("""COMPUTED_VALUE"""),"rtp2021")</f>
        <v>rtp2021</v>
      </c>
      <c r="G6" s="103"/>
      <c r="H6" s="103" t="str">
        <f ca="1">IFERROR(__xludf.DUMMYFUNCTION("""COMPUTED_VALUE"""),"ภ.8")</f>
        <v>ภ.8</v>
      </c>
      <c r="I6" s="103">
        <f ca="1">IFERROR(__xludf.DUMMYFUNCTION("""COMPUTED_VALUE"""),0)</f>
        <v>0</v>
      </c>
      <c r="J6" s="103">
        <f ca="1">IFERROR(__xludf.DUMMYFUNCTION("""COMPUTED_VALUE"""),0)</f>
        <v>0</v>
      </c>
      <c r="K6" s="103">
        <f ca="1">IFERROR(__xludf.DUMMYFUNCTION("""COMPUTED_VALUE"""),0)</f>
        <v>0</v>
      </c>
      <c r="L6" s="103">
        <f ca="1">IFERROR(__xludf.DUMMYFUNCTION("""COMPUTED_VALUE"""),0)</f>
        <v>0</v>
      </c>
      <c r="M6" s="103">
        <f ca="1">IFERROR(__xludf.DUMMYFUNCTION("""COMPUTED_VALUE"""),3)</f>
        <v>3</v>
      </c>
      <c r="N6" s="103">
        <f ca="1">IFERROR(__xludf.DUMMYFUNCTION("""COMPUTED_VALUE"""),3)</f>
        <v>3</v>
      </c>
      <c r="O6" s="103">
        <f ca="1">IFERROR(__xludf.DUMMYFUNCTION("""COMPUTED_VALUE"""),0)</f>
        <v>0</v>
      </c>
      <c r="P6" s="103">
        <f ca="1">IFERROR(__xludf.DUMMYFUNCTION("""COMPUTED_VALUE"""),0)</f>
        <v>0</v>
      </c>
      <c r="Q6" s="103">
        <f ca="1">IFERROR(__xludf.DUMMYFUNCTION("""COMPUTED_VALUE"""),0)</f>
        <v>0</v>
      </c>
      <c r="R6" s="103">
        <f ca="1">IFERROR(__xludf.DUMMYFUNCTION("""COMPUTED_VALUE"""),0)</f>
        <v>0</v>
      </c>
      <c r="S6" s="103">
        <f ca="1">IFERROR(__xludf.DUMMYFUNCTION("""COMPUTED_VALUE"""),9)</f>
        <v>9</v>
      </c>
      <c r="T6" s="103">
        <f ca="1">IFERROR(__xludf.DUMMYFUNCTION("""COMPUTED_VALUE"""),35)</f>
        <v>35</v>
      </c>
      <c r="U6" s="103">
        <f ca="1">IFERROR(__xludf.DUMMYFUNCTION("""COMPUTED_VALUE"""),2)</f>
        <v>2</v>
      </c>
      <c r="V6" s="103">
        <f ca="1">IFERROR(__xludf.DUMMYFUNCTION("""COMPUTED_VALUE"""),2)</f>
        <v>2</v>
      </c>
      <c r="W6" s="103">
        <f ca="1">IFERROR(__xludf.DUMMYFUNCTION("""COMPUTED_VALUE"""),0)</f>
        <v>0</v>
      </c>
      <c r="X6" s="103">
        <f ca="1">IFERROR(__xludf.DUMMYFUNCTION("""COMPUTED_VALUE"""),0)</f>
        <v>0</v>
      </c>
      <c r="Y6" s="103">
        <f ca="1">IFERROR(__xludf.DUMMYFUNCTION("""COMPUTED_VALUE"""),0)</f>
        <v>0</v>
      </c>
      <c r="Z6" s="103">
        <f ca="1">IFERROR(__xludf.DUMMYFUNCTION("""COMPUTED_VALUE"""),0)</f>
        <v>0</v>
      </c>
      <c r="AA6" s="103">
        <f ca="1">IFERROR(__xludf.DUMMYFUNCTION("""COMPUTED_VALUE"""),1)</f>
        <v>1</v>
      </c>
      <c r="AB6" s="103">
        <f ca="1">IFERROR(__xludf.DUMMYFUNCTION("""COMPUTED_VALUE"""),2)</f>
        <v>2</v>
      </c>
      <c r="AC6" s="103">
        <f ca="1">IFERROR(__xludf.DUMMYFUNCTION("""COMPUTED_VALUE"""),10)</f>
        <v>10</v>
      </c>
      <c r="AD6" s="103">
        <f ca="1">IFERROR(__xludf.DUMMYFUNCTION("""COMPUTED_VALUE"""),12)</f>
        <v>12</v>
      </c>
      <c r="AE6" s="103">
        <f ca="1">IFERROR(__xludf.DUMMYFUNCTION("""COMPUTED_VALUE"""),14)</f>
        <v>14</v>
      </c>
      <c r="AF6" s="103">
        <f ca="1">IFERROR(__xludf.DUMMYFUNCTION("""COMPUTED_VALUE"""),14)</f>
        <v>14</v>
      </c>
      <c r="AG6" s="103">
        <f ca="1">IFERROR(__xludf.DUMMYFUNCTION("""COMPUTED_VALUE"""),24)</f>
        <v>24</v>
      </c>
      <c r="AH6" s="103">
        <f ca="1">IFERROR(__xludf.DUMMYFUNCTION("""COMPUTED_VALUE"""),24)</f>
        <v>24</v>
      </c>
      <c r="AI6" s="103">
        <f ca="1">IFERROR(__xludf.DUMMYFUNCTION("""COMPUTED_VALUE"""),0)</f>
        <v>0</v>
      </c>
      <c r="AJ6" s="103">
        <f ca="1">IFERROR(__xludf.DUMMYFUNCTION("""COMPUTED_VALUE"""),0)</f>
        <v>0</v>
      </c>
      <c r="AK6" s="103">
        <f ca="1">IFERROR(__xludf.DUMMYFUNCTION("""COMPUTED_VALUE"""),0)</f>
        <v>0</v>
      </c>
      <c r="AL6" s="103">
        <f ca="1">IFERROR(__xludf.DUMMYFUNCTION("""COMPUTED_VALUE"""),0)</f>
        <v>0</v>
      </c>
      <c r="AM6" s="103">
        <f ca="1">IFERROR(__xludf.DUMMYFUNCTION("""COMPUTED_VALUE"""),1)</f>
        <v>1</v>
      </c>
      <c r="AN6" s="103">
        <f ca="1">IFERROR(__xludf.DUMMYFUNCTION("""COMPUTED_VALUE"""),1)</f>
        <v>1</v>
      </c>
      <c r="AO6" s="103">
        <f ca="1">IFERROR(__xludf.DUMMYFUNCTION("""COMPUTED_VALUE"""),0)</f>
        <v>0</v>
      </c>
      <c r="AP6" s="103">
        <f ca="1">IFERROR(__xludf.DUMMYFUNCTION("""COMPUTED_VALUE"""),0)</f>
        <v>0</v>
      </c>
      <c r="AQ6" s="103">
        <f ca="1">IFERROR(__xludf.DUMMYFUNCTION("""COMPUTED_VALUE"""),4)</f>
        <v>4</v>
      </c>
      <c r="AR6" s="103">
        <f ca="1">IFERROR(__xludf.DUMMYFUNCTION("""COMPUTED_VALUE"""),4)</f>
        <v>4</v>
      </c>
      <c r="AS6" s="103">
        <f ca="1">IFERROR(__xludf.DUMMYFUNCTION("""COMPUTED_VALUE"""),1)</f>
        <v>1</v>
      </c>
      <c r="AT6" s="103">
        <f ca="1">IFERROR(__xludf.DUMMYFUNCTION("""COMPUTED_VALUE"""),1)</f>
        <v>1</v>
      </c>
      <c r="AU6" s="103">
        <f ca="1">IFERROR(__xludf.DUMMYFUNCTION("""COMPUTED_VALUE"""),0)</f>
        <v>0</v>
      </c>
      <c r="AV6" s="103">
        <f ca="1">IFERROR(__xludf.DUMMYFUNCTION("""COMPUTED_VALUE"""),0)</f>
        <v>0</v>
      </c>
      <c r="AW6" s="103">
        <f ca="1">IFERROR(__xludf.DUMMYFUNCTION("""COMPUTED_VALUE"""),3)</f>
        <v>3</v>
      </c>
      <c r="AX6" s="103">
        <f ca="1">IFERROR(__xludf.DUMMYFUNCTION("""COMPUTED_VALUE"""),3)</f>
        <v>3</v>
      </c>
      <c r="AY6" s="103">
        <f ca="1">IFERROR(__xludf.DUMMYFUNCTION("""COMPUTED_VALUE"""),0)</f>
        <v>0</v>
      </c>
      <c r="AZ6" s="103">
        <f ca="1">IFERROR(__xludf.DUMMYFUNCTION("""COMPUTED_VALUE"""),0)</f>
        <v>0</v>
      </c>
      <c r="BA6" s="103">
        <f ca="1">IFERROR(__xludf.DUMMYFUNCTION("""COMPUTED_VALUE"""),26)</f>
        <v>26</v>
      </c>
      <c r="BB6" s="103">
        <f ca="1">IFERROR(__xludf.DUMMYFUNCTION("""COMPUTED_VALUE"""),26)</f>
        <v>26</v>
      </c>
      <c r="BC6" s="103"/>
      <c r="BD6" s="103"/>
      <c r="BE6" s="103"/>
      <c r="BF6" s="103"/>
      <c r="BG6" s="103"/>
      <c r="BH6" s="10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  <c r="D7" s="107">
        <f ca="1">IFERROR(__xludf.DUMMYFUNCTION("""COMPUTED_VALUE"""),44467.3166405671)</f>
        <v>44467.3166405671</v>
      </c>
      <c r="E7" s="103" t="str">
        <f ca="1">IFERROR(__xludf.DUMMYFUNCTION("""COMPUTED_VALUE"""),"p8@rtp.com")</f>
        <v>p8@rtp.com</v>
      </c>
      <c r="F7" s="103" t="str">
        <f ca="1">IFERROR(__xludf.DUMMYFUNCTION("""COMPUTED_VALUE"""),"rtp2021")</f>
        <v>rtp2021</v>
      </c>
      <c r="G7" s="103"/>
      <c r="H7" s="103" t="str">
        <f ca="1">IFERROR(__xludf.DUMMYFUNCTION("""COMPUTED_VALUE"""),"ภ.8")</f>
        <v>ภ.8</v>
      </c>
      <c r="I7" s="103">
        <f ca="1">IFERROR(__xludf.DUMMYFUNCTION("""COMPUTED_VALUE"""),0)</f>
        <v>0</v>
      </c>
      <c r="J7" s="103">
        <f ca="1">IFERROR(__xludf.DUMMYFUNCTION("""COMPUTED_VALUE"""),0)</f>
        <v>0</v>
      </c>
      <c r="K7" s="103">
        <f ca="1">IFERROR(__xludf.DUMMYFUNCTION("""COMPUTED_VALUE"""),0)</f>
        <v>0</v>
      </c>
      <c r="L7" s="103">
        <f ca="1">IFERROR(__xludf.DUMMYFUNCTION("""COMPUTED_VALUE"""),0)</f>
        <v>0</v>
      </c>
      <c r="M7" s="103">
        <f ca="1">IFERROR(__xludf.DUMMYFUNCTION("""COMPUTED_VALUE"""),2)</f>
        <v>2</v>
      </c>
      <c r="N7" s="103">
        <f ca="1">IFERROR(__xludf.DUMMYFUNCTION("""COMPUTED_VALUE"""),2)</f>
        <v>2</v>
      </c>
      <c r="O7" s="103">
        <f ca="1">IFERROR(__xludf.DUMMYFUNCTION("""COMPUTED_VALUE"""),0)</f>
        <v>0</v>
      </c>
      <c r="P7" s="103">
        <f ca="1">IFERROR(__xludf.DUMMYFUNCTION("""COMPUTED_VALUE"""),0)</f>
        <v>0</v>
      </c>
      <c r="Q7" s="103">
        <f ca="1">IFERROR(__xludf.DUMMYFUNCTION("""COMPUTED_VALUE"""),0)</f>
        <v>0</v>
      </c>
      <c r="R7" s="103">
        <f ca="1">IFERROR(__xludf.DUMMYFUNCTION("""COMPUTED_VALUE"""),0)</f>
        <v>0</v>
      </c>
      <c r="S7" s="103">
        <f ca="1">IFERROR(__xludf.DUMMYFUNCTION("""COMPUTED_VALUE"""),10)</f>
        <v>10</v>
      </c>
      <c r="T7" s="103">
        <f ca="1">IFERROR(__xludf.DUMMYFUNCTION("""COMPUTED_VALUE"""),34)</f>
        <v>34</v>
      </c>
      <c r="U7" s="103">
        <f ca="1">IFERROR(__xludf.DUMMYFUNCTION("""COMPUTED_VALUE"""),2)</f>
        <v>2</v>
      </c>
      <c r="V7" s="103">
        <f ca="1">IFERROR(__xludf.DUMMYFUNCTION("""COMPUTED_VALUE"""),2)</f>
        <v>2</v>
      </c>
      <c r="W7" s="103">
        <f ca="1">IFERROR(__xludf.DUMMYFUNCTION("""COMPUTED_VALUE"""),0)</f>
        <v>0</v>
      </c>
      <c r="X7" s="103">
        <f ca="1">IFERROR(__xludf.DUMMYFUNCTION("""COMPUTED_VALUE"""),0)</f>
        <v>0</v>
      </c>
      <c r="Y7" s="103">
        <f ca="1">IFERROR(__xludf.DUMMYFUNCTION("""COMPUTED_VALUE"""),0)</f>
        <v>0</v>
      </c>
      <c r="Z7" s="103">
        <f ca="1">IFERROR(__xludf.DUMMYFUNCTION("""COMPUTED_VALUE"""),0)</f>
        <v>0</v>
      </c>
      <c r="AA7" s="103">
        <f ca="1">IFERROR(__xludf.DUMMYFUNCTION("""COMPUTED_VALUE"""),0)</f>
        <v>0</v>
      </c>
      <c r="AB7" s="103">
        <f ca="1">IFERROR(__xludf.DUMMYFUNCTION("""COMPUTED_VALUE"""),0)</f>
        <v>0</v>
      </c>
      <c r="AC7" s="103">
        <f ca="1">IFERROR(__xludf.DUMMYFUNCTION("""COMPUTED_VALUE"""),9)</f>
        <v>9</v>
      </c>
      <c r="AD7" s="103">
        <f ca="1">IFERROR(__xludf.DUMMYFUNCTION("""COMPUTED_VALUE"""),9)</f>
        <v>9</v>
      </c>
      <c r="AE7" s="103">
        <f ca="1">IFERROR(__xludf.DUMMYFUNCTION("""COMPUTED_VALUE"""),21)</f>
        <v>21</v>
      </c>
      <c r="AF7" s="103">
        <f ca="1">IFERROR(__xludf.DUMMYFUNCTION("""COMPUTED_VALUE"""),21)</f>
        <v>21</v>
      </c>
      <c r="AG7" s="103">
        <f ca="1">IFERROR(__xludf.DUMMYFUNCTION("""COMPUTED_VALUE"""),28)</f>
        <v>28</v>
      </c>
      <c r="AH7" s="103">
        <f ca="1">IFERROR(__xludf.DUMMYFUNCTION("""COMPUTED_VALUE"""),28)</f>
        <v>28</v>
      </c>
      <c r="AI7" s="103">
        <f ca="1">IFERROR(__xludf.DUMMYFUNCTION("""COMPUTED_VALUE"""),0)</f>
        <v>0</v>
      </c>
      <c r="AJ7" s="103">
        <f ca="1">IFERROR(__xludf.DUMMYFUNCTION("""COMPUTED_VALUE"""),0)</f>
        <v>0</v>
      </c>
      <c r="AK7" s="103">
        <f ca="1">IFERROR(__xludf.DUMMYFUNCTION("""COMPUTED_VALUE"""),0)</f>
        <v>0</v>
      </c>
      <c r="AL7" s="103">
        <f ca="1">IFERROR(__xludf.DUMMYFUNCTION("""COMPUTED_VALUE"""),0)</f>
        <v>0</v>
      </c>
      <c r="AM7" s="103">
        <f ca="1">IFERROR(__xludf.DUMMYFUNCTION("""COMPUTED_VALUE"""),1)</f>
        <v>1</v>
      </c>
      <c r="AN7" s="103">
        <f ca="1">IFERROR(__xludf.DUMMYFUNCTION("""COMPUTED_VALUE"""),1)</f>
        <v>1</v>
      </c>
      <c r="AO7" s="103">
        <f ca="1">IFERROR(__xludf.DUMMYFUNCTION("""COMPUTED_VALUE"""),0)</f>
        <v>0</v>
      </c>
      <c r="AP7" s="103">
        <f ca="1">IFERROR(__xludf.DUMMYFUNCTION("""COMPUTED_VALUE"""),0)</f>
        <v>0</v>
      </c>
      <c r="AQ7" s="103">
        <f ca="1">IFERROR(__xludf.DUMMYFUNCTION("""COMPUTED_VALUE"""),4)</f>
        <v>4</v>
      </c>
      <c r="AR7" s="103">
        <f ca="1">IFERROR(__xludf.DUMMYFUNCTION("""COMPUTED_VALUE"""),3)</f>
        <v>3</v>
      </c>
      <c r="AS7" s="103">
        <f ca="1">IFERROR(__xludf.DUMMYFUNCTION("""COMPUTED_VALUE"""),1)</f>
        <v>1</v>
      </c>
      <c r="AT7" s="103">
        <f ca="1">IFERROR(__xludf.DUMMYFUNCTION("""COMPUTED_VALUE"""),1)</f>
        <v>1</v>
      </c>
      <c r="AU7" s="103">
        <f ca="1">IFERROR(__xludf.DUMMYFUNCTION("""COMPUTED_VALUE"""),0)</f>
        <v>0</v>
      </c>
      <c r="AV7" s="103">
        <f ca="1">IFERROR(__xludf.DUMMYFUNCTION("""COMPUTED_VALUE"""),0)</f>
        <v>0</v>
      </c>
      <c r="AW7" s="103">
        <f ca="1">IFERROR(__xludf.DUMMYFUNCTION("""COMPUTED_VALUE"""),4)</f>
        <v>4</v>
      </c>
      <c r="AX7" s="103">
        <f ca="1">IFERROR(__xludf.DUMMYFUNCTION("""COMPUTED_VALUE"""),4)</f>
        <v>4</v>
      </c>
      <c r="AY7" s="103">
        <f ca="1">IFERROR(__xludf.DUMMYFUNCTION("""COMPUTED_VALUE"""),0)</f>
        <v>0</v>
      </c>
      <c r="AZ7" s="103">
        <f ca="1">IFERROR(__xludf.DUMMYFUNCTION("""COMPUTED_VALUE"""),0)</f>
        <v>0</v>
      </c>
      <c r="BA7" s="103">
        <f ca="1">IFERROR(__xludf.DUMMYFUNCTION("""COMPUTED_VALUE"""),30)</f>
        <v>30</v>
      </c>
      <c r="BB7" s="103">
        <f ca="1">IFERROR(__xludf.DUMMYFUNCTION("""COMPUTED_VALUE"""),30)</f>
        <v>30</v>
      </c>
      <c r="BC7" s="103"/>
      <c r="BD7" s="103"/>
      <c r="BE7" s="103"/>
      <c r="BF7" s="103"/>
      <c r="BG7" s="103"/>
      <c r="BH7" s="103"/>
    </row>
    <row r="8" spans="1:67" ht="12.75">
      <c r="A8" s="114" t="s">
        <v>25</v>
      </c>
      <c r="B8" s="115"/>
      <c r="C8" s="116"/>
      <c r="D8" s="107">
        <f ca="1">IFERROR(__xludf.DUMMYFUNCTION("""COMPUTED_VALUE"""),44468.3268753125)</f>
        <v>44468.326875312501</v>
      </c>
      <c r="E8" s="103" t="str">
        <f ca="1">IFERROR(__xludf.DUMMYFUNCTION("""COMPUTED_VALUE"""),"p8@rtp.com")</f>
        <v>p8@rtp.com</v>
      </c>
      <c r="F8" s="103" t="str">
        <f ca="1">IFERROR(__xludf.DUMMYFUNCTION("""COMPUTED_VALUE"""),"rtp2021")</f>
        <v>rtp2021</v>
      </c>
      <c r="G8" s="103"/>
      <c r="H8" s="103" t="str">
        <f ca="1">IFERROR(__xludf.DUMMYFUNCTION("""COMPUTED_VALUE"""),"ภ.8")</f>
        <v>ภ.8</v>
      </c>
      <c r="I8" s="103">
        <f ca="1">IFERROR(__xludf.DUMMYFUNCTION("""COMPUTED_VALUE"""),0)</f>
        <v>0</v>
      </c>
      <c r="J8" s="103">
        <f ca="1">IFERROR(__xludf.DUMMYFUNCTION("""COMPUTED_VALUE"""),0)</f>
        <v>0</v>
      </c>
      <c r="K8" s="103">
        <f ca="1">IFERROR(__xludf.DUMMYFUNCTION("""COMPUTED_VALUE"""),0)</f>
        <v>0</v>
      </c>
      <c r="L8" s="103">
        <f ca="1">IFERROR(__xludf.DUMMYFUNCTION("""COMPUTED_VALUE"""),0)</f>
        <v>0</v>
      </c>
      <c r="M8" s="103">
        <f ca="1">IFERROR(__xludf.DUMMYFUNCTION("""COMPUTED_VALUE"""),3)</f>
        <v>3</v>
      </c>
      <c r="N8" s="103">
        <f ca="1">IFERROR(__xludf.DUMMYFUNCTION("""COMPUTED_VALUE"""),2)</f>
        <v>2</v>
      </c>
      <c r="O8" s="103">
        <f ca="1">IFERROR(__xludf.DUMMYFUNCTION("""COMPUTED_VALUE"""),0)</f>
        <v>0</v>
      </c>
      <c r="P8" s="103">
        <f ca="1">IFERROR(__xludf.DUMMYFUNCTION("""COMPUTED_VALUE"""),0)</f>
        <v>0</v>
      </c>
      <c r="Q8" s="103">
        <f ca="1">IFERROR(__xludf.DUMMYFUNCTION("""COMPUTED_VALUE"""),0)</f>
        <v>0</v>
      </c>
      <c r="R8" s="103">
        <f ca="1">IFERROR(__xludf.DUMMYFUNCTION("""COMPUTED_VALUE"""),0)</f>
        <v>0</v>
      </c>
      <c r="S8" s="103">
        <f ca="1">IFERROR(__xludf.DUMMYFUNCTION("""COMPUTED_VALUE"""),12)</f>
        <v>12</v>
      </c>
      <c r="T8" s="103">
        <f ca="1">IFERROR(__xludf.DUMMYFUNCTION("""COMPUTED_VALUE"""),30)</f>
        <v>30</v>
      </c>
      <c r="U8" s="103">
        <f ca="1">IFERROR(__xludf.DUMMYFUNCTION("""COMPUTED_VALUE"""),2)</f>
        <v>2</v>
      </c>
      <c r="V8" s="103">
        <f ca="1">IFERROR(__xludf.DUMMYFUNCTION("""COMPUTED_VALUE"""),3)</f>
        <v>3</v>
      </c>
      <c r="W8" s="103">
        <f ca="1">IFERROR(__xludf.DUMMYFUNCTION("""COMPUTED_VALUE"""),0)</f>
        <v>0</v>
      </c>
      <c r="X8" s="103">
        <f ca="1">IFERROR(__xludf.DUMMYFUNCTION("""COMPUTED_VALUE"""),0)</f>
        <v>0</v>
      </c>
      <c r="Y8" s="103">
        <f ca="1">IFERROR(__xludf.DUMMYFUNCTION("""COMPUTED_VALUE"""),0)</f>
        <v>0</v>
      </c>
      <c r="Z8" s="103">
        <f ca="1">IFERROR(__xludf.DUMMYFUNCTION("""COMPUTED_VALUE"""),0)</f>
        <v>0</v>
      </c>
      <c r="AA8" s="103">
        <f ca="1">IFERROR(__xludf.DUMMYFUNCTION("""COMPUTED_VALUE"""),4)</f>
        <v>4</v>
      </c>
      <c r="AB8" s="103">
        <f ca="1">IFERROR(__xludf.DUMMYFUNCTION("""COMPUTED_VALUE"""),4)</f>
        <v>4</v>
      </c>
      <c r="AC8" s="103">
        <f ca="1">IFERROR(__xludf.DUMMYFUNCTION("""COMPUTED_VALUE"""),17)</f>
        <v>17</v>
      </c>
      <c r="AD8" s="103">
        <f ca="1">IFERROR(__xludf.DUMMYFUNCTION("""COMPUTED_VALUE"""),20)</f>
        <v>20</v>
      </c>
      <c r="AE8" s="103">
        <f ca="1">IFERROR(__xludf.DUMMYFUNCTION("""COMPUTED_VALUE"""),32)</f>
        <v>32</v>
      </c>
      <c r="AF8" s="103">
        <f ca="1">IFERROR(__xludf.DUMMYFUNCTION("""COMPUTED_VALUE"""),33)</f>
        <v>33</v>
      </c>
      <c r="AG8" s="103">
        <f ca="1">IFERROR(__xludf.DUMMYFUNCTION("""COMPUTED_VALUE"""),19)</f>
        <v>19</v>
      </c>
      <c r="AH8" s="103">
        <f ca="1">IFERROR(__xludf.DUMMYFUNCTION("""COMPUTED_VALUE"""),19)</f>
        <v>19</v>
      </c>
      <c r="AI8" s="103">
        <f ca="1">IFERROR(__xludf.DUMMYFUNCTION("""COMPUTED_VALUE"""),0)</f>
        <v>0</v>
      </c>
      <c r="AJ8" s="103">
        <f ca="1">IFERROR(__xludf.DUMMYFUNCTION("""COMPUTED_VALUE"""),0)</f>
        <v>0</v>
      </c>
      <c r="AK8" s="103">
        <f ca="1">IFERROR(__xludf.DUMMYFUNCTION("""COMPUTED_VALUE"""),0)</f>
        <v>0</v>
      </c>
      <c r="AL8" s="103">
        <f ca="1">IFERROR(__xludf.DUMMYFUNCTION("""COMPUTED_VALUE"""),0)</f>
        <v>0</v>
      </c>
      <c r="AM8" s="103">
        <f ca="1">IFERROR(__xludf.DUMMYFUNCTION("""COMPUTED_VALUE"""),2)</f>
        <v>2</v>
      </c>
      <c r="AN8" s="103">
        <f ca="1">IFERROR(__xludf.DUMMYFUNCTION("""COMPUTED_VALUE"""),2)</f>
        <v>2</v>
      </c>
      <c r="AO8" s="103">
        <f ca="1">IFERROR(__xludf.DUMMYFUNCTION("""COMPUTED_VALUE"""),0)</f>
        <v>0</v>
      </c>
      <c r="AP8" s="103">
        <f ca="1">IFERROR(__xludf.DUMMYFUNCTION("""COMPUTED_VALUE"""),0)</f>
        <v>0</v>
      </c>
      <c r="AQ8" s="103">
        <f ca="1">IFERROR(__xludf.DUMMYFUNCTION("""COMPUTED_VALUE"""),9)</f>
        <v>9</v>
      </c>
      <c r="AR8" s="103">
        <f ca="1">IFERROR(__xludf.DUMMYFUNCTION("""COMPUTED_VALUE"""),9)</f>
        <v>9</v>
      </c>
      <c r="AS8" s="103">
        <f ca="1">IFERROR(__xludf.DUMMYFUNCTION("""COMPUTED_VALUE"""),1)</f>
        <v>1</v>
      </c>
      <c r="AT8" s="103">
        <f ca="1">IFERROR(__xludf.DUMMYFUNCTION("""COMPUTED_VALUE"""),1)</f>
        <v>1</v>
      </c>
      <c r="AU8" s="103">
        <f ca="1">IFERROR(__xludf.DUMMYFUNCTION("""COMPUTED_VALUE"""),0)</f>
        <v>0</v>
      </c>
      <c r="AV8" s="103">
        <f ca="1">IFERROR(__xludf.DUMMYFUNCTION("""COMPUTED_VALUE"""),0)</f>
        <v>0</v>
      </c>
      <c r="AW8" s="103">
        <f ca="1">IFERROR(__xludf.DUMMYFUNCTION("""COMPUTED_VALUE"""),6)</f>
        <v>6</v>
      </c>
      <c r="AX8" s="103">
        <f ca="1">IFERROR(__xludf.DUMMYFUNCTION("""COMPUTED_VALUE"""),6)</f>
        <v>6</v>
      </c>
      <c r="AY8" s="103">
        <f ca="1">IFERROR(__xludf.DUMMYFUNCTION("""COMPUTED_VALUE"""),1)</f>
        <v>1</v>
      </c>
      <c r="AZ8" s="103">
        <f ca="1">IFERROR(__xludf.DUMMYFUNCTION("""COMPUTED_VALUE"""),1)</f>
        <v>1</v>
      </c>
      <c r="BA8" s="103">
        <f ca="1">IFERROR(__xludf.DUMMYFUNCTION("""COMPUTED_VALUE"""),40)</f>
        <v>40</v>
      </c>
      <c r="BB8" s="103">
        <f ca="1">IFERROR(__xludf.DUMMYFUNCTION("""COMPUTED_VALUE"""),40)</f>
        <v>40</v>
      </c>
      <c r="BC8" s="103"/>
      <c r="BD8" s="103"/>
      <c r="BE8" s="103"/>
      <c r="BF8" s="103"/>
      <c r="BG8" s="103"/>
      <c r="BH8" s="103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  <c r="D9" s="107">
        <f ca="1">IFERROR(__xludf.DUMMYFUNCTION("""COMPUTED_VALUE"""),44469.306291412)</f>
        <v>44469.306291412002</v>
      </c>
      <c r="E9" s="103" t="str">
        <f ca="1">IFERROR(__xludf.DUMMYFUNCTION("""COMPUTED_VALUE"""),"p8@rtp.com")</f>
        <v>p8@rtp.com</v>
      </c>
      <c r="F9" s="103" t="str">
        <f ca="1">IFERROR(__xludf.DUMMYFUNCTION("""COMPUTED_VALUE"""),"rtp2021")</f>
        <v>rtp2021</v>
      </c>
      <c r="G9" s="103"/>
      <c r="H9" s="103" t="str">
        <f ca="1">IFERROR(__xludf.DUMMYFUNCTION("""COMPUTED_VALUE"""),"ภ.8")</f>
        <v>ภ.8</v>
      </c>
      <c r="I9" s="103">
        <f ca="1">IFERROR(__xludf.DUMMYFUNCTION("""COMPUTED_VALUE"""),0)</f>
        <v>0</v>
      </c>
      <c r="J9" s="103">
        <f ca="1">IFERROR(__xludf.DUMMYFUNCTION("""COMPUTED_VALUE"""),0)</f>
        <v>0</v>
      </c>
      <c r="K9" s="103">
        <f ca="1">IFERROR(__xludf.DUMMYFUNCTION("""COMPUTED_VALUE"""),0)</f>
        <v>0</v>
      </c>
      <c r="L9" s="103">
        <f ca="1">IFERROR(__xludf.DUMMYFUNCTION("""COMPUTED_VALUE"""),0)</f>
        <v>0</v>
      </c>
      <c r="M9" s="103">
        <f ca="1">IFERROR(__xludf.DUMMYFUNCTION("""COMPUTED_VALUE"""),6)</f>
        <v>6</v>
      </c>
      <c r="N9" s="103">
        <f ca="1">IFERROR(__xludf.DUMMYFUNCTION("""COMPUTED_VALUE"""),6)</f>
        <v>6</v>
      </c>
      <c r="O9" s="103">
        <f ca="1">IFERROR(__xludf.DUMMYFUNCTION("""COMPUTED_VALUE"""),0)</f>
        <v>0</v>
      </c>
      <c r="P9" s="103">
        <f ca="1">IFERROR(__xludf.DUMMYFUNCTION("""COMPUTED_VALUE"""),0)</f>
        <v>0</v>
      </c>
      <c r="Q9" s="103">
        <f ca="1">IFERROR(__xludf.DUMMYFUNCTION("""COMPUTED_VALUE"""),0)</f>
        <v>0</v>
      </c>
      <c r="R9" s="103">
        <f ca="1">IFERROR(__xludf.DUMMYFUNCTION("""COMPUTED_VALUE"""),0)</f>
        <v>0</v>
      </c>
      <c r="S9" s="103">
        <f ca="1">IFERROR(__xludf.DUMMYFUNCTION("""COMPUTED_VALUE"""),26)</f>
        <v>26</v>
      </c>
      <c r="T9" s="103">
        <f ca="1">IFERROR(__xludf.DUMMYFUNCTION("""COMPUTED_VALUE"""),44)</f>
        <v>44</v>
      </c>
      <c r="U9" s="103">
        <f ca="1">IFERROR(__xludf.DUMMYFUNCTION("""COMPUTED_VALUE"""),12)</f>
        <v>12</v>
      </c>
      <c r="V9" s="103">
        <f ca="1">IFERROR(__xludf.DUMMYFUNCTION("""COMPUTED_VALUE"""),12)</f>
        <v>12</v>
      </c>
      <c r="W9" s="103">
        <f ca="1">IFERROR(__xludf.DUMMYFUNCTION("""COMPUTED_VALUE"""),0)</f>
        <v>0</v>
      </c>
      <c r="X9" s="103">
        <f ca="1">IFERROR(__xludf.DUMMYFUNCTION("""COMPUTED_VALUE"""),0)</f>
        <v>0</v>
      </c>
      <c r="Y9" s="103">
        <f ca="1">IFERROR(__xludf.DUMMYFUNCTION("""COMPUTED_VALUE"""),0)</f>
        <v>0</v>
      </c>
      <c r="Z9" s="103">
        <f ca="1">IFERROR(__xludf.DUMMYFUNCTION("""COMPUTED_VALUE"""),0)</f>
        <v>0</v>
      </c>
      <c r="AA9" s="103">
        <f ca="1">IFERROR(__xludf.DUMMYFUNCTION("""COMPUTED_VALUE"""),1)</f>
        <v>1</v>
      </c>
      <c r="AB9" s="103">
        <f ca="1">IFERROR(__xludf.DUMMYFUNCTION("""COMPUTED_VALUE"""),1)</f>
        <v>1</v>
      </c>
      <c r="AC9" s="103">
        <f ca="1">IFERROR(__xludf.DUMMYFUNCTION("""COMPUTED_VALUE"""),8)</f>
        <v>8</v>
      </c>
      <c r="AD9" s="103">
        <f ca="1">IFERROR(__xludf.DUMMYFUNCTION("""COMPUTED_VALUE"""),7)</f>
        <v>7</v>
      </c>
      <c r="AE9" s="103">
        <f ca="1">IFERROR(__xludf.DUMMYFUNCTION("""COMPUTED_VALUE"""),22)</f>
        <v>22</v>
      </c>
      <c r="AF9" s="103">
        <f ca="1">IFERROR(__xludf.DUMMYFUNCTION("""COMPUTED_VALUE"""),24)</f>
        <v>24</v>
      </c>
      <c r="AG9" s="103">
        <f ca="1">IFERROR(__xludf.DUMMYFUNCTION("""COMPUTED_VALUE"""),33)</f>
        <v>33</v>
      </c>
      <c r="AH9" s="103">
        <f ca="1">IFERROR(__xludf.DUMMYFUNCTION("""COMPUTED_VALUE"""),33)</f>
        <v>33</v>
      </c>
      <c r="AI9" s="103">
        <f ca="1">IFERROR(__xludf.DUMMYFUNCTION("""COMPUTED_VALUE"""),0)</f>
        <v>0</v>
      </c>
      <c r="AJ9" s="103">
        <f ca="1">IFERROR(__xludf.DUMMYFUNCTION("""COMPUTED_VALUE"""),0)</f>
        <v>0</v>
      </c>
      <c r="AK9" s="103">
        <f ca="1">IFERROR(__xludf.DUMMYFUNCTION("""COMPUTED_VALUE"""),0)</f>
        <v>0</v>
      </c>
      <c r="AL9" s="103">
        <f ca="1">IFERROR(__xludf.DUMMYFUNCTION("""COMPUTED_VALUE"""),0)</f>
        <v>0</v>
      </c>
      <c r="AM9" s="103">
        <f ca="1">IFERROR(__xludf.DUMMYFUNCTION("""COMPUTED_VALUE"""),4)</f>
        <v>4</v>
      </c>
      <c r="AN9" s="103">
        <f ca="1">IFERROR(__xludf.DUMMYFUNCTION("""COMPUTED_VALUE"""),4)</f>
        <v>4</v>
      </c>
      <c r="AO9" s="103">
        <f ca="1">IFERROR(__xludf.DUMMYFUNCTION("""COMPUTED_VALUE"""),0)</f>
        <v>0</v>
      </c>
      <c r="AP9" s="103">
        <f ca="1">IFERROR(__xludf.DUMMYFUNCTION("""COMPUTED_VALUE"""),0)</f>
        <v>0</v>
      </c>
      <c r="AQ9" s="103">
        <f ca="1">IFERROR(__xludf.DUMMYFUNCTION("""COMPUTED_VALUE"""),6)</f>
        <v>6</v>
      </c>
      <c r="AR9" s="103">
        <f ca="1">IFERROR(__xludf.DUMMYFUNCTION("""COMPUTED_VALUE"""),6)</f>
        <v>6</v>
      </c>
      <c r="AS9" s="103">
        <f ca="1">IFERROR(__xludf.DUMMYFUNCTION("""COMPUTED_VALUE"""),0)</f>
        <v>0</v>
      </c>
      <c r="AT9" s="103">
        <f ca="1">IFERROR(__xludf.DUMMYFUNCTION("""COMPUTED_VALUE"""),0)</f>
        <v>0</v>
      </c>
      <c r="AU9" s="103">
        <f ca="1">IFERROR(__xludf.DUMMYFUNCTION("""COMPUTED_VALUE"""),0)</f>
        <v>0</v>
      </c>
      <c r="AV9" s="103">
        <f ca="1">IFERROR(__xludf.DUMMYFUNCTION("""COMPUTED_VALUE"""),0)</f>
        <v>0</v>
      </c>
      <c r="AW9" s="103">
        <f ca="1">IFERROR(__xludf.DUMMYFUNCTION("""COMPUTED_VALUE"""),6)</f>
        <v>6</v>
      </c>
      <c r="AX9" s="103">
        <f ca="1">IFERROR(__xludf.DUMMYFUNCTION("""COMPUTED_VALUE"""),6)</f>
        <v>6</v>
      </c>
      <c r="AY9" s="103">
        <f ca="1">IFERROR(__xludf.DUMMYFUNCTION("""COMPUTED_VALUE"""),2)</f>
        <v>2</v>
      </c>
      <c r="AZ9" s="103">
        <f ca="1">IFERROR(__xludf.DUMMYFUNCTION("""COMPUTED_VALUE"""),2)</f>
        <v>2</v>
      </c>
      <c r="BA9" s="103">
        <f ca="1">IFERROR(__xludf.DUMMYFUNCTION("""COMPUTED_VALUE"""),57)</f>
        <v>57</v>
      </c>
      <c r="BB9" s="103">
        <f ca="1">IFERROR(__xludf.DUMMYFUNCTION("""COMPUTED_VALUE"""),57)</f>
        <v>57</v>
      </c>
      <c r="BC9" s="103"/>
      <c r="BD9" s="103"/>
      <c r="BE9" s="103"/>
      <c r="BF9" s="103"/>
      <c r="BG9" s="103"/>
      <c r="BH9" s="103"/>
    </row>
    <row r="10" spans="1:67" ht="12.75">
      <c r="A10" s="114" t="s">
        <v>27</v>
      </c>
      <c r="B10" s="115">
        <f t="shared" ref="B10:C10" ca="1" si="2">SUM(M:M)</f>
        <v>20</v>
      </c>
      <c r="C10" s="116">
        <f t="shared" ca="1" si="2"/>
        <v>19</v>
      </c>
      <c r="D10" s="107">
        <f ca="1">IFERROR(__xludf.DUMMYFUNCTION("""COMPUTED_VALUE"""),44470.3186583449)</f>
        <v>44470.318658344899</v>
      </c>
      <c r="E10" s="103" t="str">
        <f ca="1">IFERROR(__xludf.DUMMYFUNCTION("""COMPUTED_VALUE"""),"p8@rtp.com")</f>
        <v>p8@rtp.com</v>
      </c>
      <c r="F10" s="103" t="str">
        <f ca="1">IFERROR(__xludf.DUMMYFUNCTION("""COMPUTED_VALUE"""),"rtp2021")</f>
        <v>rtp2021</v>
      </c>
      <c r="G10" s="103"/>
      <c r="H10" s="103" t="str">
        <f ca="1">IFERROR(__xludf.DUMMYFUNCTION("""COMPUTED_VALUE"""),"ภ.8")</f>
        <v>ภ.8</v>
      </c>
      <c r="I10" s="103">
        <f ca="1">IFERROR(__xludf.DUMMYFUNCTION("""COMPUTED_VALUE"""),0)</f>
        <v>0</v>
      </c>
      <c r="J10" s="103">
        <f ca="1">IFERROR(__xludf.DUMMYFUNCTION("""COMPUTED_VALUE"""),0)</f>
        <v>0</v>
      </c>
      <c r="K10" s="103">
        <f ca="1">IFERROR(__xludf.DUMMYFUNCTION("""COMPUTED_VALUE"""),0)</f>
        <v>0</v>
      </c>
      <c r="L10" s="103">
        <f ca="1">IFERROR(__xludf.DUMMYFUNCTION("""COMPUTED_VALUE"""),0)</f>
        <v>0</v>
      </c>
      <c r="M10" s="103">
        <f ca="1">IFERROR(__xludf.DUMMYFUNCTION("""COMPUTED_VALUE"""),2)</f>
        <v>2</v>
      </c>
      <c r="N10" s="103">
        <f ca="1">IFERROR(__xludf.DUMMYFUNCTION("""COMPUTED_VALUE"""),2)</f>
        <v>2</v>
      </c>
      <c r="O10" s="103">
        <f ca="1">IFERROR(__xludf.DUMMYFUNCTION("""COMPUTED_VALUE"""),0)</f>
        <v>0</v>
      </c>
      <c r="P10" s="103">
        <f ca="1">IFERROR(__xludf.DUMMYFUNCTION("""COMPUTED_VALUE"""),0)</f>
        <v>0</v>
      </c>
      <c r="Q10" s="103">
        <f ca="1">IFERROR(__xludf.DUMMYFUNCTION("""COMPUTED_VALUE"""),3)</f>
        <v>3</v>
      </c>
      <c r="R10" s="103">
        <f ca="1">IFERROR(__xludf.DUMMYFUNCTION("""COMPUTED_VALUE"""),3)</f>
        <v>3</v>
      </c>
      <c r="S10" s="103">
        <f ca="1">IFERROR(__xludf.DUMMYFUNCTION("""COMPUTED_VALUE"""),13)</f>
        <v>13</v>
      </c>
      <c r="T10" s="103">
        <f ca="1">IFERROR(__xludf.DUMMYFUNCTION("""COMPUTED_VALUE"""),21)</f>
        <v>21</v>
      </c>
      <c r="U10" s="103">
        <f ca="1">IFERROR(__xludf.DUMMYFUNCTION("""COMPUTED_VALUE"""),3)</f>
        <v>3</v>
      </c>
      <c r="V10" s="103">
        <f ca="1">IFERROR(__xludf.DUMMYFUNCTION("""COMPUTED_VALUE"""),3)</f>
        <v>3</v>
      </c>
      <c r="W10" s="103">
        <f ca="1">IFERROR(__xludf.DUMMYFUNCTION("""COMPUTED_VALUE"""),0)</f>
        <v>0</v>
      </c>
      <c r="X10" s="103">
        <f ca="1">IFERROR(__xludf.DUMMYFUNCTION("""COMPUTED_VALUE"""),0)</f>
        <v>0</v>
      </c>
      <c r="Y10" s="103">
        <f ca="1">IFERROR(__xludf.DUMMYFUNCTION("""COMPUTED_VALUE"""),0)</f>
        <v>0</v>
      </c>
      <c r="Z10" s="103">
        <f ca="1">IFERROR(__xludf.DUMMYFUNCTION("""COMPUTED_VALUE"""),0)</f>
        <v>0</v>
      </c>
      <c r="AA10" s="103">
        <f ca="1">IFERROR(__xludf.DUMMYFUNCTION("""COMPUTED_VALUE"""),1)</f>
        <v>1</v>
      </c>
      <c r="AB10" s="103">
        <f ca="1">IFERROR(__xludf.DUMMYFUNCTION("""COMPUTED_VALUE"""),1)</f>
        <v>1</v>
      </c>
      <c r="AC10" s="103">
        <f ca="1">IFERROR(__xludf.DUMMYFUNCTION("""COMPUTED_VALUE"""),10)</f>
        <v>10</v>
      </c>
      <c r="AD10" s="103">
        <f ca="1">IFERROR(__xludf.DUMMYFUNCTION("""COMPUTED_VALUE"""),11)</f>
        <v>11</v>
      </c>
      <c r="AE10" s="103">
        <f ca="1">IFERROR(__xludf.DUMMYFUNCTION("""COMPUTED_VALUE"""),29)</f>
        <v>29</v>
      </c>
      <c r="AF10" s="103">
        <f ca="1">IFERROR(__xludf.DUMMYFUNCTION("""COMPUTED_VALUE"""),29)</f>
        <v>29</v>
      </c>
      <c r="AG10" s="103">
        <f ca="1">IFERROR(__xludf.DUMMYFUNCTION("""COMPUTED_VALUE"""),27)</f>
        <v>27</v>
      </c>
      <c r="AH10" s="103">
        <f ca="1">IFERROR(__xludf.DUMMYFUNCTION("""COMPUTED_VALUE"""),27)</f>
        <v>27</v>
      </c>
      <c r="AI10" s="103">
        <f ca="1">IFERROR(__xludf.DUMMYFUNCTION("""COMPUTED_VALUE"""),0)</f>
        <v>0</v>
      </c>
      <c r="AJ10" s="103">
        <f ca="1">IFERROR(__xludf.DUMMYFUNCTION("""COMPUTED_VALUE"""),0)</f>
        <v>0</v>
      </c>
      <c r="AK10" s="103">
        <f ca="1">IFERROR(__xludf.DUMMYFUNCTION("""COMPUTED_VALUE"""),0)</f>
        <v>0</v>
      </c>
      <c r="AL10" s="103">
        <f ca="1">IFERROR(__xludf.DUMMYFUNCTION("""COMPUTED_VALUE"""),0)</f>
        <v>0</v>
      </c>
      <c r="AM10" s="103">
        <f ca="1">IFERROR(__xludf.DUMMYFUNCTION("""COMPUTED_VALUE"""),1)</f>
        <v>1</v>
      </c>
      <c r="AN10" s="103">
        <f ca="1">IFERROR(__xludf.DUMMYFUNCTION("""COMPUTED_VALUE"""),1)</f>
        <v>1</v>
      </c>
      <c r="AO10" s="103">
        <f ca="1">IFERROR(__xludf.DUMMYFUNCTION("""COMPUTED_VALUE"""),0)</f>
        <v>0</v>
      </c>
      <c r="AP10" s="103">
        <f ca="1">IFERROR(__xludf.DUMMYFUNCTION("""COMPUTED_VALUE"""),0)</f>
        <v>0</v>
      </c>
      <c r="AQ10" s="103">
        <f ca="1">IFERROR(__xludf.DUMMYFUNCTION("""COMPUTED_VALUE"""),3)</f>
        <v>3</v>
      </c>
      <c r="AR10" s="103">
        <f ca="1">IFERROR(__xludf.DUMMYFUNCTION("""COMPUTED_VALUE"""),3)</f>
        <v>3</v>
      </c>
      <c r="AS10" s="103">
        <f ca="1">IFERROR(__xludf.DUMMYFUNCTION("""COMPUTED_VALUE"""),1)</f>
        <v>1</v>
      </c>
      <c r="AT10" s="103">
        <f ca="1">IFERROR(__xludf.DUMMYFUNCTION("""COMPUTED_VALUE"""),1)</f>
        <v>1</v>
      </c>
      <c r="AU10" s="103">
        <f ca="1">IFERROR(__xludf.DUMMYFUNCTION("""COMPUTED_VALUE"""),0)</f>
        <v>0</v>
      </c>
      <c r="AV10" s="103">
        <f ca="1">IFERROR(__xludf.DUMMYFUNCTION("""COMPUTED_VALUE"""),0)</f>
        <v>0</v>
      </c>
      <c r="AW10" s="103">
        <f ca="1">IFERROR(__xludf.DUMMYFUNCTION("""COMPUTED_VALUE"""),6)</f>
        <v>6</v>
      </c>
      <c r="AX10" s="103">
        <f ca="1">IFERROR(__xludf.DUMMYFUNCTION("""COMPUTED_VALUE"""),6)</f>
        <v>6</v>
      </c>
      <c r="AY10" s="103">
        <f ca="1">IFERROR(__xludf.DUMMYFUNCTION("""COMPUTED_VALUE"""),0)</f>
        <v>0</v>
      </c>
      <c r="AZ10" s="103">
        <f ca="1">IFERROR(__xludf.DUMMYFUNCTION("""COMPUTED_VALUE"""),0)</f>
        <v>0</v>
      </c>
      <c r="BA10" s="103">
        <f ca="1">IFERROR(__xludf.DUMMYFUNCTION("""COMPUTED_VALUE"""),35)</f>
        <v>35</v>
      </c>
      <c r="BB10" s="103">
        <f ca="1">IFERROR(__xludf.DUMMYFUNCTION("""COMPUTED_VALUE"""),35)</f>
        <v>35</v>
      </c>
      <c r="BC10" s="103"/>
      <c r="BD10" s="103"/>
      <c r="BE10" s="103"/>
      <c r="BF10" s="103"/>
      <c r="BG10" s="103"/>
      <c r="BH10" s="103"/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0</v>
      </c>
      <c r="C12" s="116">
        <f t="shared" ca="1" si="3"/>
        <v>0</v>
      </c>
    </row>
    <row r="13" spans="1:67" ht="12.75">
      <c r="A13" s="114" t="s">
        <v>30</v>
      </c>
      <c r="B13" s="115">
        <f t="shared" ref="B13:C13" ca="1" si="4">SUM(Q:Q)</f>
        <v>3</v>
      </c>
      <c r="C13" s="116">
        <f t="shared" ca="1" si="4"/>
        <v>3</v>
      </c>
    </row>
    <row r="14" spans="1:67" ht="12.75">
      <c r="A14" s="114" t="s">
        <v>31</v>
      </c>
      <c r="B14" s="115">
        <f t="shared" ref="B14:C14" ca="1" si="5">SUM(S:S)</f>
        <v>81</v>
      </c>
      <c r="C14" s="116">
        <f t="shared" ca="1" si="5"/>
        <v>190</v>
      </c>
    </row>
    <row r="15" spans="1:67" ht="12.75">
      <c r="A15" s="117" t="s">
        <v>32</v>
      </c>
      <c r="B15" s="118">
        <f t="shared" ref="B15:C15" ca="1" si="6">SUM(B6:B14)</f>
        <v>104</v>
      </c>
      <c r="C15" s="119">
        <f t="shared" ca="1" si="6"/>
        <v>212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37</v>
      </c>
      <c r="C17" s="116">
        <f t="shared" ca="1" si="7"/>
        <v>38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8</v>
      </c>
      <c r="C20" s="116">
        <f t="shared" ca="1" si="10"/>
        <v>9</v>
      </c>
    </row>
    <row r="21" spans="1:3" ht="12.75">
      <c r="A21" s="114" t="s">
        <v>38</v>
      </c>
      <c r="B21" s="115">
        <f t="shared" ref="B21:C21" ca="1" si="11">SUM(AC:AC)</f>
        <v>109</v>
      </c>
      <c r="C21" s="116">
        <f t="shared" ca="1" si="11"/>
        <v>117</v>
      </c>
    </row>
    <row r="22" spans="1:3" ht="12.75">
      <c r="A22" s="114" t="s">
        <v>39</v>
      </c>
      <c r="B22" s="115">
        <f t="shared" ref="B22:C22" ca="1" si="12">SUM(AE:AE)</f>
        <v>196</v>
      </c>
      <c r="C22" s="116">
        <f t="shared" ca="1" si="12"/>
        <v>199</v>
      </c>
    </row>
    <row r="23" spans="1:3" ht="12.75">
      <c r="A23" s="114" t="s">
        <v>40</v>
      </c>
      <c r="B23" s="115">
        <f t="shared" ref="B23:C23" ca="1" si="13">SUM(AG:AG)</f>
        <v>218</v>
      </c>
      <c r="C23" s="116">
        <f t="shared" ca="1" si="13"/>
        <v>218</v>
      </c>
    </row>
    <row r="24" spans="1:3" ht="12.75">
      <c r="A24" s="117" t="s">
        <v>32</v>
      </c>
      <c r="B24" s="118">
        <f t="shared" ref="B24:C24" ca="1" si="14">SUM(B17:B23)</f>
        <v>568</v>
      </c>
      <c r="C24" s="119">
        <f t="shared" ca="1" si="14"/>
        <v>581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0</v>
      </c>
      <c r="C27" s="116">
        <f t="shared" ca="1" si="16"/>
        <v>0</v>
      </c>
    </row>
    <row r="28" spans="1:3" ht="12.75">
      <c r="A28" s="114" t="s">
        <v>44</v>
      </c>
      <c r="B28" s="115">
        <f t="shared" ref="B28:C28" ca="1" si="17">SUM(AM:AM)</f>
        <v>9</v>
      </c>
      <c r="C28" s="116">
        <f t="shared" ca="1" si="17"/>
        <v>9</v>
      </c>
    </row>
    <row r="29" spans="1:3" ht="12.75">
      <c r="A29" s="117" t="s">
        <v>32</v>
      </c>
      <c r="B29" s="118">
        <f t="shared" ref="B29:C29" ca="1" si="18">SUM(B26:B28)</f>
        <v>9</v>
      </c>
      <c r="C29" s="119">
        <f t="shared" ca="1" si="18"/>
        <v>9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47</v>
      </c>
      <c r="C32" s="116">
        <f t="shared" ca="1" si="20"/>
        <v>44</v>
      </c>
    </row>
    <row r="33" spans="1:67" ht="12.75">
      <c r="A33" s="114" t="s">
        <v>48</v>
      </c>
      <c r="B33" s="115">
        <f t="shared" ref="B33:C33" ca="1" si="21">SUM(AS:AS)</f>
        <v>15</v>
      </c>
      <c r="C33" s="116">
        <f t="shared" ca="1" si="21"/>
        <v>15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54</v>
      </c>
      <c r="C35" s="116">
        <f t="shared" ca="1" si="23"/>
        <v>53</v>
      </c>
    </row>
    <row r="36" spans="1:67" ht="12.75">
      <c r="A36" s="117" t="s">
        <v>32</v>
      </c>
      <c r="B36" s="118">
        <f t="shared" ref="B36:C36" ca="1" si="24">SUM(B31:B35)</f>
        <v>116</v>
      </c>
      <c r="C36" s="119">
        <f t="shared" ca="1" si="24"/>
        <v>112</v>
      </c>
    </row>
    <row r="37" spans="1:67" ht="12.75">
      <c r="A37" s="122" t="s">
        <v>51</v>
      </c>
      <c r="B37" s="123">
        <f t="shared" ref="B37:C37" ca="1" si="25">SUM(AY:AY)</f>
        <v>3</v>
      </c>
      <c r="C37" s="124">
        <f t="shared" ca="1" si="25"/>
        <v>3</v>
      </c>
    </row>
    <row r="38" spans="1:67" ht="12.75">
      <c r="A38" s="125" t="s">
        <v>52</v>
      </c>
      <c r="B38" s="123">
        <f t="shared" ref="B38:C38" ca="1" si="26">SUM(BA:BA)</f>
        <v>301</v>
      </c>
      <c r="C38" s="124">
        <f t="shared" ca="1" si="26"/>
        <v>301</v>
      </c>
    </row>
    <row r="39" spans="1:67" ht="15">
      <c r="A39" s="126" t="s">
        <v>20</v>
      </c>
      <c r="B39" s="127">
        <f t="shared" ref="B39:C39" ca="1" si="27">SUM(B15,B24,B29,B36,B37,B38)</f>
        <v>1101</v>
      </c>
      <c r="C39" s="128">
        <f t="shared" ca="1" si="27"/>
        <v>1218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/>
      <c r="C2" s="102" t="s">
        <v>72</v>
      </c>
      <c r="D2" s="103" t="str">
        <f ca="1">IFERROR(__xludf.DUMMYFUNCTION("QUERY('Form Responses 1'!A:BE,""select * where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8</v>
      </c>
      <c r="B3" s="105" t="s">
        <v>73</v>
      </c>
      <c r="C3" s="106" t="s">
        <v>73</v>
      </c>
      <c r="D3" s="107">
        <f ca="1">IFERROR(__xludf.DUMMYFUNCTION("""COMPUTED_VALUE"""),44463.4906273263)</f>
        <v>44463.490627326297</v>
      </c>
      <c r="E3" s="103" t="str">
        <f ca="1">IFERROR(__xludf.DUMMYFUNCTION("""COMPUTED_VALUE"""),"p9@rtp.com")</f>
        <v>p9@rtp.com</v>
      </c>
      <c r="F3" s="108" t="str">
        <f ca="1">IFERROR(__xludf.DUMMYFUNCTION("""COMPUTED_VALUE"""),"rtp2021")</f>
        <v>rtp2021</v>
      </c>
      <c r="G3" s="103"/>
      <c r="H3" s="108" t="str">
        <f ca="1">IFERROR(__xludf.DUMMYFUNCTION("""COMPUTED_VALUE"""),"ภ.9")</f>
        <v>ภ.9</v>
      </c>
      <c r="I3" s="108">
        <f ca="1">IFERROR(__xludf.DUMMYFUNCTION("""COMPUTED_VALUE"""),0)</f>
        <v>0</v>
      </c>
      <c r="J3" s="108">
        <f ca="1">IFERROR(__xludf.DUMMYFUNCTION("""COMPUTED_VALUE"""),0)</f>
        <v>0</v>
      </c>
      <c r="K3" s="108"/>
      <c r="L3" s="108"/>
      <c r="M3" s="108"/>
      <c r="N3" s="108"/>
      <c r="O3" s="108"/>
      <c r="P3" s="108"/>
      <c r="Q3" s="108"/>
      <c r="R3" s="108"/>
      <c r="S3" s="108">
        <f ca="1">IFERROR(__xludf.DUMMYFUNCTION("""COMPUTED_VALUE"""),2)</f>
        <v>2</v>
      </c>
      <c r="T3" s="108">
        <f ca="1">IFERROR(__xludf.DUMMYFUNCTION("""COMPUTED_VALUE"""),7)</f>
        <v>7</v>
      </c>
      <c r="U3" s="108"/>
      <c r="V3" s="108"/>
      <c r="W3" s="108"/>
      <c r="X3" s="108"/>
      <c r="Y3" s="108"/>
      <c r="Z3" s="108"/>
      <c r="AA3" s="108">
        <f ca="1">IFERROR(__xludf.DUMMYFUNCTION("""COMPUTED_VALUE"""),3)</f>
        <v>3</v>
      </c>
      <c r="AB3" s="108">
        <f ca="1">IFERROR(__xludf.DUMMYFUNCTION("""COMPUTED_VALUE"""),3)</f>
        <v>3</v>
      </c>
      <c r="AC3" s="108">
        <f ca="1">IFERROR(__xludf.DUMMYFUNCTION("""COMPUTED_VALUE"""),7)</f>
        <v>7</v>
      </c>
      <c r="AD3" s="108">
        <f ca="1">IFERROR(__xludf.DUMMYFUNCTION("""COMPUTED_VALUE"""),10)</f>
        <v>10</v>
      </c>
      <c r="AE3" s="108">
        <f ca="1">IFERROR(__xludf.DUMMYFUNCTION("""COMPUTED_VALUE"""),22)</f>
        <v>22</v>
      </c>
      <c r="AF3" s="108">
        <f ca="1">IFERROR(__xludf.DUMMYFUNCTION("""COMPUTED_VALUE"""),24)</f>
        <v>24</v>
      </c>
      <c r="AG3" s="108">
        <f ca="1">IFERROR(__xludf.DUMMYFUNCTION("""COMPUTED_VALUE"""),23)</f>
        <v>23</v>
      </c>
      <c r="AH3" s="108">
        <f ca="1">IFERROR(__xludf.DUMMYFUNCTION("""COMPUTED_VALUE"""),23)</f>
        <v>23</v>
      </c>
      <c r="AI3" s="108"/>
      <c r="AJ3" s="108"/>
      <c r="AK3" s="108"/>
      <c r="AL3" s="108"/>
      <c r="AM3" s="108"/>
      <c r="AN3" s="108"/>
      <c r="AO3" s="108"/>
      <c r="AP3" s="108"/>
      <c r="AQ3" s="108">
        <f ca="1">IFERROR(__xludf.DUMMYFUNCTION("""COMPUTED_VALUE"""),2)</f>
        <v>2</v>
      </c>
      <c r="AR3" s="108">
        <f ca="1">IFERROR(__xludf.DUMMYFUNCTION("""COMPUTED_VALUE"""),2)</f>
        <v>2</v>
      </c>
      <c r="AS3" s="108"/>
      <c r="AT3" s="108"/>
      <c r="AU3" s="108"/>
      <c r="AV3" s="108"/>
      <c r="AW3" s="108">
        <f ca="1">IFERROR(__xludf.DUMMYFUNCTION("""COMPUTED_VALUE"""),10)</f>
        <v>10</v>
      </c>
      <c r="AX3" s="108">
        <f ca="1">IFERROR(__xludf.DUMMYFUNCTION("""COMPUTED_VALUE"""),10)</f>
        <v>10</v>
      </c>
      <c r="AY3" s="108"/>
      <c r="AZ3" s="108"/>
      <c r="BA3" s="108">
        <f ca="1">IFERROR(__xludf.DUMMYFUNCTION("""COMPUTED_VALUE"""),21)</f>
        <v>21</v>
      </c>
      <c r="BB3" s="108">
        <f ca="1">IFERROR(__xludf.DUMMYFUNCTION("""COMPUTED_VALUE"""),21)</f>
        <v>21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  <c r="D4" s="107">
        <f ca="1">IFERROR(__xludf.DUMMYFUNCTION("""COMPUTED_VALUE"""),44464.3254705902)</f>
        <v>44464.3254705902</v>
      </c>
      <c r="E4" s="103" t="str">
        <f ca="1">IFERROR(__xludf.DUMMYFUNCTION("""COMPUTED_VALUE"""),"p9@rtp.com")</f>
        <v>p9@rtp.com</v>
      </c>
      <c r="F4" s="103" t="str">
        <f ca="1">IFERROR(__xludf.DUMMYFUNCTION("""COMPUTED_VALUE"""),"rtp2021")</f>
        <v>rtp2021</v>
      </c>
      <c r="G4" s="103"/>
      <c r="H4" s="103" t="str">
        <f ca="1">IFERROR(__xludf.DUMMYFUNCTION("""COMPUTED_VALUE"""),"ภ.9")</f>
        <v>ภ.9</v>
      </c>
      <c r="I4" s="103">
        <f ca="1">IFERROR(__xludf.DUMMYFUNCTION("""COMPUTED_VALUE"""),0)</f>
        <v>0</v>
      </c>
      <c r="J4" s="103">
        <f ca="1">IFERROR(__xludf.DUMMYFUNCTION("""COMPUTED_VALUE"""),0)</f>
        <v>0</v>
      </c>
      <c r="K4" s="103">
        <f ca="1">IFERROR(__xludf.DUMMYFUNCTION("""COMPUTED_VALUE"""),0)</f>
        <v>0</v>
      </c>
      <c r="L4" s="103">
        <f ca="1">IFERROR(__xludf.DUMMYFUNCTION("""COMPUTED_VALUE"""),0)</f>
        <v>0</v>
      </c>
      <c r="M4" s="103">
        <f ca="1">IFERROR(__xludf.DUMMYFUNCTION("""COMPUTED_VALUE"""),0)</f>
        <v>0</v>
      </c>
      <c r="N4" s="103">
        <f ca="1">IFERROR(__xludf.DUMMYFUNCTION("""COMPUTED_VALUE"""),0)</f>
        <v>0</v>
      </c>
      <c r="O4" s="103">
        <f ca="1">IFERROR(__xludf.DUMMYFUNCTION("""COMPUTED_VALUE"""),0)</f>
        <v>0</v>
      </c>
      <c r="P4" s="103">
        <f ca="1">IFERROR(__xludf.DUMMYFUNCTION("""COMPUTED_VALUE"""),0)</f>
        <v>0</v>
      </c>
      <c r="Q4" s="103">
        <f ca="1">IFERROR(__xludf.DUMMYFUNCTION("""COMPUTED_VALUE"""),1)</f>
        <v>1</v>
      </c>
      <c r="R4" s="103">
        <f ca="1">IFERROR(__xludf.DUMMYFUNCTION("""COMPUTED_VALUE"""),4)</f>
        <v>4</v>
      </c>
      <c r="S4" s="103">
        <f ca="1">IFERROR(__xludf.DUMMYFUNCTION("""COMPUTED_VALUE"""),0)</f>
        <v>0</v>
      </c>
      <c r="T4" s="103">
        <f ca="1">IFERROR(__xludf.DUMMYFUNCTION("""COMPUTED_VALUE"""),0)</f>
        <v>0</v>
      </c>
      <c r="U4" s="103">
        <f ca="1">IFERROR(__xludf.DUMMYFUNCTION("""COMPUTED_VALUE"""),0)</f>
        <v>0</v>
      </c>
      <c r="V4" s="103">
        <f ca="1">IFERROR(__xludf.DUMMYFUNCTION("""COMPUTED_VALUE"""),0)</f>
        <v>0</v>
      </c>
      <c r="W4" s="103">
        <f ca="1">IFERROR(__xludf.DUMMYFUNCTION("""COMPUTED_VALUE"""),0)</f>
        <v>0</v>
      </c>
      <c r="X4" s="103">
        <f ca="1">IFERROR(__xludf.DUMMYFUNCTION("""COMPUTED_VALUE"""),0)</f>
        <v>0</v>
      </c>
      <c r="Y4" s="103">
        <f ca="1">IFERROR(__xludf.DUMMYFUNCTION("""COMPUTED_VALUE"""),0)</f>
        <v>0</v>
      </c>
      <c r="Z4" s="103">
        <f ca="1">IFERROR(__xludf.DUMMYFUNCTION("""COMPUTED_VALUE"""),0)</f>
        <v>0</v>
      </c>
      <c r="AA4" s="103">
        <f ca="1">IFERROR(__xludf.DUMMYFUNCTION("""COMPUTED_VALUE"""),0)</f>
        <v>0</v>
      </c>
      <c r="AB4" s="103">
        <f ca="1">IFERROR(__xludf.DUMMYFUNCTION("""COMPUTED_VALUE"""),0)</f>
        <v>0</v>
      </c>
      <c r="AC4" s="103">
        <f ca="1">IFERROR(__xludf.DUMMYFUNCTION("""COMPUTED_VALUE"""),16)</f>
        <v>16</v>
      </c>
      <c r="AD4" s="103">
        <f ca="1">IFERROR(__xludf.DUMMYFUNCTION("""COMPUTED_VALUE"""),20)</f>
        <v>20</v>
      </c>
      <c r="AE4" s="103">
        <f ca="1">IFERROR(__xludf.DUMMYFUNCTION("""COMPUTED_VALUE"""),39)</f>
        <v>39</v>
      </c>
      <c r="AF4" s="103">
        <f ca="1">IFERROR(__xludf.DUMMYFUNCTION("""COMPUTED_VALUE"""),39)</f>
        <v>39</v>
      </c>
      <c r="AG4" s="103">
        <f ca="1">IFERROR(__xludf.DUMMYFUNCTION("""COMPUTED_VALUE"""),26)</f>
        <v>26</v>
      </c>
      <c r="AH4" s="103">
        <f ca="1">IFERROR(__xludf.DUMMYFUNCTION("""COMPUTED_VALUE"""),26)</f>
        <v>26</v>
      </c>
      <c r="AI4" s="103">
        <f ca="1">IFERROR(__xludf.DUMMYFUNCTION("""COMPUTED_VALUE"""),0)</f>
        <v>0</v>
      </c>
      <c r="AJ4" s="103">
        <f ca="1">IFERROR(__xludf.DUMMYFUNCTION("""COMPUTED_VALUE"""),0)</f>
        <v>0</v>
      </c>
      <c r="AK4" s="103">
        <f ca="1">IFERROR(__xludf.DUMMYFUNCTION("""COMPUTED_VALUE"""),0)</f>
        <v>0</v>
      </c>
      <c r="AL4" s="103">
        <f ca="1">IFERROR(__xludf.DUMMYFUNCTION("""COMPUTED_VALUE"""),0)</f>
        <v>0</v>
      </c>
      <c r="AM4" s="103">
        <f ca="1">IFERROR(__xludf.DUMMYFUNCTION("""COMPUTED_VALUE"""),0)</f>
        <v>0</v>
      </c>
      <c r="AN4" s="103">
        <f ca="1">IFERROR(__xludf.DUMMYFUNCTION("""COMPUTED_VALUE"""),0)</f>
        <v>0</v>
      </c>
      <c r="AO4" s="103">
        <f ca="1">IFERROR(__xludf.DUMMYFUNCTION("""COMPUTED_VALUE"""),0)</f>
        <v>0</v>
      </c>
      <c r="AP4" s="103">
        <f ca="1">IFERROR(__xludf.DUMMYFUNCTION("""COMPUTED_VALUE"""),0)</f>
        <v>0</v>
      </c>
      <c r="AQ4" s="103">
        <f ca="1">IFERROR(__xludf.DUMMYFUNCTION("""COMPUTED_VALUE"""),3)</f>
        <v>3</v>
      </c>
      <c r="AR4" s="103">
        <f ca="1">IFERROR(__xludf.DUMMYFUNCTION("""COMPUTED_VALUE"""),3)</f>
        <v>3</v>
      </c>
      <c r="AS4" s="103">
        <f ca="1">IFERROR(__xludf.DUMMYFUNCTION("""COMPUTED_VALUE"""),0)</f>
        <v>0</v>
      </c>
      <c r="AT4" s="103">
        <f ca="1">IFERROR(__xludf.DUMMYFUNCTION("""COMPUTED_VALUE"""),0)</f>
        <v>0</v>
      </c>
      <c r="AU4" s="103">
        <f ca="1">IFERROR(__xludf.DUMMYFUNCTION("""COMPUTED_VALUE"""),2)</f>
        <v>2</v>
      </c>
      <c r="AV4" s="103">
        <f ca="1">IFERROR(__xludf.DUMMYFUNCTION("""COMPUTED_VALUE"""),2)</f>
        <v>2</v>
      </c>
      <c r="AW4" s="103">
        <f ca="1">IFERROR(__xludf.DUMMYFUNCTION("""COMPUTED_VALUE"""),8)</f>
        <v>8</v>
      </c>
      <c r="AX4" s="103">
        <f ca="1">IFERROR(__xludf.DUMMYFUNCTION("""COMPUTED_VALUE"""),8)</f>
        <v>8</v>
      </c>
      <c r="AY4" s="103">
        <f ca="1">IFERROR(__xludf.DUMMYFUNCTION("""COMPUTED_VALUE"""),0)</f>
        <v>0</v>
      </c>
      <c r="AZ4" s="103">
        <f ca="1">IFERROR(__xludf.DUMMYFUNCTION("""COMPUTED_VALUE"""),0)</f>
        <v>0</v>
      </c>
      <c r="BA4" s="103">
        <f ca="1">IFERROR(__xludf.DUMMYFUNCTION("""COMPUTED_VALUE"""),46)</f>
        <v>46</v>
      </c>
      <c r="BB4" s="103">
        <f ca="1">IFERROR(__xludf.DUMMYFUNCTION("""COMPUTED_VALUE"""),46)</f>
        <v>46</v>
      </c>
      <c r="BC4" s="103"/>
      <c r="BD4" s="103"/>
      <c r="BE4" s="103"/>
      <c r="BF4" s="103"/>
      <c r="BG4" s="103"/>
      <c r="BH4" s="103"/>
    </row>
    <row r="5" spans="1:67" ht="12.75">
      <c r="A5" s="638"/>
      <c r="B5" s="109" t="s">
        <v>21</v>
      </c>
      <c r="C5" s="110" t="s">
        <v>22</v>
      </c>
      <c r="D5" s="107">
        <f ca="1">IFERROR(__xludf.DUMMYFUNCTION("""COMPUTED_VALUE"""),44465.283886331)</f>
        <v>44465.283886331003</v>
      </c>
      <c r="E5" s="103" t="str">
        <f ca="1">IFERROR(__xludf.DUMMYFUNCTION("""COMPUTED_VALUE"""),"p9@rtp.com")</f>
        <v>p9@rtp.com</v>
      </c>
      <c r="F5" s="103" t="str">
        <f ca="1">IFERROR(__xludf.DUMMYFUNCTION("""COMPUTED_VALUE"""),"rtp2021")</f>
        <v>rtp2021</v>
      </c>
      <c r="G5" s="103"/>
      <c r="H5" s="103" t="str">
        <f ca="1">IFERROR(__xludf.DUMMYFUNCTION("""COMPUTED_VALUE"""),"ภ.9")</f>
        <v>ภ.9</v>
      </c>
      <c r="I5" s="103">
        <f ca="1">IFERROR(__xludf.DUMMYFUNCTION("""COMPUTED_VALUE"""),0)</f>
        <v>0</v>
      </c>
      <c r="J5" s="103">
        <f ca="1">IFERROR(__xludf.DUMMYFUNCTION("""COMPUTED_VALUE"""),0)</f>
        <v>0</v>
      </c>
      <c r="K5" s="103">
        <f ca="1">IFERROR(__xludf.DUMMYFUNCTION("""COMPUTED_VALUE"""),0)</f>
        <v>0</v>
      </c>
      <c r="L5" s="103">
        <f ca="1">IFERROR(__xludf.DUMMYFUNCTION("""COMPUTED_VALUE"""),0)</f>
        <v>0</v>
      </c>
      <c r="M5" s="103">
        <f ca="1">IFERROR(__xludf.DUMMYFUNCTION("""COMPUTED_VALUE"""),0)</f>
        <v>0</v>
      </c>
      <c r="N5" s="103">
        <f ca="1">IFERROR(__xludf.DUMMYFUNCTION("""COMPUTED_VALUE"""),0)</f>
        <v>0</v>
      </c>
      <c r="O5" s="103">
        <f ca="1">IFERROR(__xludf.DUMMYFUNCTION("""COMPUTED_VALUE"""),0)</f>
        <v>0</v>
      </c>
      <c r="P5" s="103">
        <f ca="1">IFERROR(__xludf.DUMMYFUNCTION("""COMPUTED_VALUE"""),0)</f>
        <v>0</v>
      </c>
      <c r="Q5" s="103">
        <f ca="1">IFERROR(__xludf.DUMMYFUNCTION("""COMPUTED_VALUE"""),1)</f>
        <v>1</v>
      </c>
      <c r="R5" s="103">
        <f ca="1">IFERROR(__xludf.DUMMYFUNCTION("""COMPUTED_VALUE"""),1)</f>
        <v>1</v>
      </c>
      <c r="S5" s="103">
        <f ca="1">IFERROR(__xludf.DUMMYFUNCTION("""COMPUTED_VALUE"""),3)</f>
        <v>3</v>
      </c>
      <c r="T5" s="103">
        <f ca="1">IFERROR(__xludf.DUMMYFUNCTION("""COMPUTED_VALUE"""),9)</f>
        <v>9</v>
      </c>
      <c r="U5" s="103">
        <f ca="1">IFERROR(__xludf.DUMMYFUNCTION("""COMPUTED_VALUE"""),4)</f>
        <v>4</v>
      </c>
      <c r="V5" s="103">
        <f ca="1">IFERROR(__xludf.DUMMYFUNCTION("""COMPUTED_VALUE"""),4)</f>
        <v>4</v>
      </c>
      <c r="W5" s="103">
        <f ca="1">IFERROR(__xludf.DUMMYFUNCTION("""COMPUTED_VALUE"""),0)</f>
        <v>0</v>
      </c>
      <c r="X5" s="103">
        <f ca="1">IFERROR(__xludf.DUMMYFUNCTION("""COMPUTED_VALUE"""),0)</f>
        <v>0</v>
      </c>
      <c r="Y5" s="103">
        <f ca="1">IFERROR(__xludf.DUMMYFUNCTION("""COMPUTED_VALUE"""),0)</f>
        <v>0</v>
      </c>
      <c r="Z5" s="103">
        <f ca="1">IFERROR(__xludf.DUMMYFUNCTION("""COMPUTED_VALUE"""),0)</f>
        <v>0</v>
      </c>
      <c r="AA5" s="103">
        <f ca="1">IFERROR(__xludf.DUMMYFUNCTION("""COMPUTED_VALUE"""),0)</f>
        <v>0</v>
      </c>
      <c r="AB5" s="103">
        <f ca="1">IFERROR(__xludf.DUMMYFUNCTION("""COMPUTED_VALUE"""),0)</f>
        <v>0</v>
      </c>
      <c r="AC5" s="103">
        <f ca="1">IFERROR(__xludf.DUMMYFUNCTION("""COMPUTED_VALUE"""),11)</f>
        <v>11</v>
      </c>
      <c r="AD5" s="103">
        <f ca="1">IFERROR(__xludf.DUMMYFUNCTION("""COMPUTED_VALUE"""),13)</f>
        <v>13</v>
      </c>
      <c r="AE5" s="103">
        <f ca="1">IFERROR(__xludf.DUMMYFUNCTION("""COMPUTED_VALUE"""),31)</f>
        <v>31</v>
      </c>
      <c r="AF5" s="103">
        <f ca="1">IFERROR(__xludf.DUMMYFUNCTION("""COMPUTED_VALUE"""),31)</f>
        <v>31</v>
      </c>
      <c r="AG5" s="103">
        <f ca="1">IFERROR(__xludf.DUMMYFUNCTION("""COMPUTED_VALUE"""),20)</f>
        <v>20</v>
      </c>
      <c r="AH5" s="103">
        <f ca="1">IFERROR(__xludf.DUMMYFUNCTION("""COMPUTED_VALUE"""),20)</f>
        <v>20</v>
      </c>
      <c r="AI5" s="103">
        <f ca="1">IFERROR(__xludf.DUMMYFUNCTION("""COMPUTED_VALUE"""),0)</f>
        <v>0</v>
      </c>
      <c r="AJ5" s="103">
        <f ca="1">IFERROR(__xludf.DUMMYFUNCTION("""COMPUTED_VALUE"""),0)</f>
        <v>0</v>
      </c>
      <c r="AK5" s="103">
        <f ca="1">IFERROR(__xludf.DUMMYFUNCTION("""COMPUTED_VALUE"""),0)</f>
        <v>0</v>
      </c>
      <c r="AL5" s="103">
        <f ca="1">IFERROR(__xludf.DUMMYFUNCTION("""COMPUTED_VALUE"""),0)</f>
        <v>0</v>
      </c>
      <c r="AM5" s="103">
        <f ca="1">IFERROR(__xludf.DUMMYFUNCTION("""COMPUTED_VALUE"""),0)</f>
        <v>0</v>
      </c>
      <c r="AN5" s="103">
        <f ca="1">IFERROR(__xludf.DUMMYFUNCTION("""COMPUTED_VALUE"""),0)</f>
        <v>0</v>
      </c>
      <c r="AO5" s="103">
        <f ca="1">IFERROR(__xludf.DUMMYFUNCTION("""COMPUTED_VALUE"""),0)</f>
        <v>0</v>
      </c>
      <c r="AP5" s="103">
        <f ca="1">IFERROR(__xludf.DUMMYFUNCTION("""COMPUTED_VALUE"""),0)</f>
        <v>0</v>
      </c>
      <c r="AQ5" s="103">
        <f ca="1">IFERROR(__xludf.DUMMYFUNCTION("""COMPUTED_VALUE"""),4)</f>
        <v>4</v>
      </c>
      <c r="AR5" s="103">
        <f ca="1">IFERROR(__xludf.DUMMYFUNCTION("""COMPUTED_VALUE"""),4)</f>
        <v>4</v>
      </c>
      <c r="AS5" s="103">
        <f ca="1">IFERROR(__xludf.DUMMYFUNCTION("""COMPUTED_VALUE"""),0)</f>
        <v>0</v>
      </c>
      <c r="AT5" s="103">
        <f ca="1">IFERROR(__xludf.DUMMYFUNCTION("""COMPUTED_VALUE"""),0)</f>
        <v>0</v>
      </c>
      <c r="AU5" s="103">
        <f ca="1">IFERROR(__xludf.DUMMYFUNCTION("""COMPUTED_VALUE"""),0)</f>
        <v>0</v>
      </c>
      <c r="AV5" s="103">
        <f ca="1">IFERROR(__xludf.DUMMYFUNCTION("""COMPUTED_VALUE"""),0)</f>
        <v>0</v>
      </c>
      <c r="AW5" s="103">
        <f ca="1">IFERROR(__xludf.DUMMYFUNCTION("""COMPUTED_VALUE"""),2)</f>
        <v>2</v>
      </c>
      <c r="AX5" s="103">
        <f ca="1">IFERROR(__xludf.DUMMYFUNCTION("""COMPUTED_VALUE"""),2)</f>
        <v>2</v>
      </c>
      <c r="AY5" s="103">
        <f ca="1">IFERROR(__xludf.DUMMYFUNCTION("""COMPUTED_VALUE"""),0)</f>
        <v>0</v>
      </c>
      <c r="AZ5" s="103">
        <f ca="1">IFERROR(__xludf.DUMMYFUNCTION("""COMPUTED_VALUE"""),0)</f>
        <v>0</v>
      </c>
      <c r="BA5" s="103">
        <f ca="1">IFERROR(__xludf.DUMMYFUNCTION("""COMPUTED_VALUE"""),34)</f>
        <v>34</v>
      </c>
      <c r="BB5" s="103">
        <f ca="1">IFERROR(__xludf.DUMMYFUNCTION("""COMPUTED_VALUE"""),32)</f>
        <v>32</v>
      </c>
      <c r="BC5" s="103"/>
      <c r="BD5" s="103"/>
      <c r="BE5" s="103"/>
      <c r="BF5" s="103"/>
      <c r="BG5" s="103"/>
      <c r="BH5" s="103"/>
    </row>
    <row r="6" spans="1:67" ht="12.75">
      <c r="A6" s="111" t="s">
        <v>23</v>
      </c>
      <c r="B6" s="112"/>
      <c r="C6" s="113"/>
      <c r="D6" s="107">
        <f ca="1">IFERROR(__xludf.DUMMYFUNCTION("""COMPUTED_VALUE"""),44466.2523782291)</f>
        <v>44466.252378229103</v>
      </c>
      <c r="E6" s="103" t="str">
        <f ca="1">IFERROR(__xludf.DUMMYFUNCTION("""COMPUTED_VALUE"""),"p9@rtp.com")</f>
        <v>p9@rtp.com</v>
      </c>
      <c r="F6" s="103" t="str">
        <f ca="1">IFERROR(__xludf.DUMMYFUNCTION("""COMPUTED_VALUE"""),"rtp2021")</f>
        <v>rtp2021</v>
      </c>
      <c r="G6" s="103"/>
      <c r="H6" s="103" t="str">
        <f ca="1">IFERROR(__xludf.DUMMYFUNCTION("""COMPUTED_VALUE"""),"ภ.9")</f>
        <v>ภ.9</v>
      </c>
      <c r="I6" s="103">
        <f ca="1">IFERROR(__xludf.DUMMYFUNCTION("""COMPUTED_VALUE"""),0)</f>
        <v>0</v>
      </c>
      <c r="J6" s="103">
        <f ca="1">IFERROR(__xludf.DUMMYFUNCTION("""COMPUTED_VALUE"""),0)</f>
        <v>0</v>
      </c>
      <c r="K6" s="103">
        <f ca="1">IFERROR(__xludf.DUMMYFUNCTION("""COMPUTED_VALUE"""),0)</f>
        <v>0</v>
      </c>
      <c r="L6" s="103">
        <f ca="1">IFERROR(__xludf.DUMMYFUNCTION("""COMPUTED_VALUE"""),0)</f>
        <v>0</v>
      </c>
      <c r="M6" s="103">
        <f ca="1">IFERROR(__xludf.DUMMYFUNCTION("""COMPUTED_VALUE"""),0)</f>
        <v>0</v>
      </c>
      <c r="N6" s="103">
        <f ca="1">IFERROR(__xludf.DUMMYFUNCTION("""COMPUTED_VALUE"""),0)</f>
        <v>0</v>
      </c>
      <c r="O6" s="103">
        <f ca="1">IFERROR(__xludf.DUMMYFUNCTION("""COMPUTED_VALUE"""),0)</f>
        <v>0</v>
      </c>
      <c r="P6" s="103">
        <f ca="1">IFERROR(__xludf.DUMMYFUNCTION("""COMPUTED_VALUE"""),0)</f>
        <v>0</v>
      </c>
      <c r="Q6" s="103">
        <f ca="1">IFERROR(__xludf.DUMMYFUNCTION("""COMPUTED_VALUE"""),0)</f>
        <v>0</v>
      </c>
      <c r="R6" s="103">
        <f ca="1">IFERROR(__xludf.DUMMYFUNCTION("""COMPUTED_VALUE"""),0)</f>
        <v>0</v>
      </c>
      <c r="S6" s="103">
        <f ca="1">IFERROR(__xludf.DUMMYFUNCTION("""COMPUTED_VALUE"""),0)</f>
        <v>0</v>
      </c>
      <c r="T6" s="103">
        <f ca="1">IFERROR(__xludf.DUMMYFUNCTION("""COMPUTED_VALUE"""),0)</f>
        <v>0</v>
      </c>
      <c r="U6" s="103">
        <f ca="1">IFERROR(__xludf.DUMMYFUNCTION("""COMPUTED_VALUE"""),0)</f>
        <v>0</v>
      </c>
      <c r="V6" s="103">
        <f ca="1">IFERROR(__xludf.DUMMYFUNCTION("""COMPUTED_VALUE"""),0)</f>
        <v>0</v>
      </c>
      <c r="W6" s="103">
        <f ca="1">IFERROR(__xludf.DUMMYFUNCTION("""COMPUTED_VALUE"""),0)</f>
        <v>0</v>
      </c>
      <c r="X6" s="103">
        <f ca="1">IFERROR(__xludf.DUMMYFUNCTION("""COMPUTED_VALUE"""),0)</f>
        <v>0</v>
      </c>
      <c r="Y6" s="103">
        <f ca="1">IFERROR(__xludf.DUMMYFUNCTION("""COMPUTED_VALUE"""),0)</f>
        <v>0</v>
      </c>
      <c r="Z6" s="103">
        <f ca="1">IFERROR(__xludf.DUMMYFUNCTION("""COMPUTED_VALUE"""),0)</f>
        <v>0</v>
      </c>
      <c r="AA6" s="103">
        <f ca="1">IFERROR(__xludf.DUMMYFUNCTION("""COMPUTED_VALUE"""),0)</f>
        <v>0</v>
      </c>
      <c r="AB6" s="103">
        <f ca="1">IFERROR(__xludf.DUMMYFUNCTION("""COMPUTED_VALUE"""),0)</f>
        <v>0</v>
      </c>
      <c r="AC6" s="103">
        <f ca="1">IFERROR(__xludf.DUMMYFUNCTION("""COMPUTED_VALUE"""),9)</f>
        <v>9</v>
      </c>
      <c r="AD6" s="103">
        <f ca="1">IFERROR(__xludf.DUMMYFUNCTION("""COMPUTED_VALUE"""),10)</f>
        <v>10</v>
      </c>
      <c r="AE6" s="103">
        <f ca="1">IFERROR(__xludf.DUMMYFUNCTION("""COMPUTED_VALUE"""),23)</f>
        <v>23</v>
      </c>
      <c r="AF6" s="103">
        <f ca="1">IFERROR(__xludf.DUMMYFUNCTION("""COMPUTED_VALUE"""),24)</f>
        <v>24</v>
      </c>
      <c r="AG6" s="103">
        <f ca="1">IFERROR(__xludf.DUMMYFUNCTION("""COMPUTED_VALUE"""),20)</f>
        <v>20</v>
      </c>
      <c r="AH6" s="103">
        <f ca="1">IFERROR(__xludf.DUMMYFUNCTION("""COMPUTED_VALUE"""),20)</f>
        <v>20</v>
      </c>
      <c r="AI6" s="103">
        <f ca="1">IFERROR(__xludf.DUMMYFUNCTION("""COMPUTED_VALUE"""),2)</f>
        <v>2</v>
      </c>
      <c r="AJ6" s="103">
        <f ca="1">IFERROR(__xludf.DUMMYFUNCTION("""COMPUTED_VALUE"""),2)</f>
        <v>2</v>
      </c>
      <c r="AK6" s="103">
        <f ca="1">IFERROR(__xludf.DUMMYFUNCTION("""COMPUTED_VALUE"""),3)</f>
        <v>3</v>
      </c>
      <c r="AL6" s="103">
        <f ca="1">IFERROR(__xludf.DUMMYFUNCTION("""COMPUTED_VALUE"""),4)</f>
        <v>4</v>
      </c>
      <c r="AM6" s="103">
        <f ca="1">IFERROR(__xludf.DUMMYFUNCTION("""COMPUTED_VALUE"""),2)</f>
        <v>2</v>
      </c>
      <c r="AN6" s="103">
        <f ca="1">IFERROR(__xludf.DUMMYFUNCTION("""COMPUTED_VALUE"""),13)</f>
        <v>13</v>
      </c>
      <c r="AO6" s="103">
        <f ca="1">IFERROR(__xludf.DUMMYFUNCTION("""COMPUTED_VALUE"""),0)</f>
        <v>0</v>
      </c>
      <c r="AP6" s="103">
        <f ca="1">IFERROR(__xludf.DUMMYFUNCTION("""COMPUTED_VALUE"""),0)</f>
        <v>0</v>
      </c>
      <c r="AQ6" s="103">
        <f ca="1">IFERROR(__xludf.DUMMYFUNCTION("""COMPUTED_VALUE"""),3)</f>
        <v>3</v>
      </c>
      <c r="AR6" s="103">
        <f ca="1">IFERROR(__xludf.DUMMYFUNCTION("""COMPUTED_VALUE"""),3)</f>
        <v>3</v>
      </c>
      <c r="AS6" s="103">
        <f ca="1">IFERROR(__xludf.DUMMYFUNCTION("""COMPUTED_VALUE"""),0)</f>
        <v>0</v>
      </c>
      <c r="AT6" s="103">
        <f ca="1">IFERROR(__xludf.DUMMYFUNCTION("""COMPUTED_VALUE"""),0)</f>
        <v>0</v>
      </c>
      <c r="AU6" s="103">
        <f ca="1">IFERROR(__xludf.DUMMYFUNCTION("""COMPUTED_VALUE"""),0)</f>
        <v>0</v>
      </c>
      <c r="AV6" s="103">
        <f ca="1">IFERROR(__xludf.DUMMYFUNCTION("""COMPUTED_VALUE"""),0)</f>
        <v>0</v>
      </c>
      <c r="AW6" s="103">
        <f ca="1">IFERROR(__xludf.DUMMYFUNCTION("""COMPUTED_VALUE"""),0)</f>
        <v>0</v>
      </c>
      <c r="AX6" s="103">
        <f ca="1">IFERROR(__xludf.DUMMYFUNCTION("""COMPUTED_VALUE"""),0)</f>
        <v>0</v>
      </c>
      <c r="AY6" s="103">
        <f ca="1">IFERROR(__xludf.DUMMYFUNCTION("""COMPUTED_VALUE"""),0)</f>
        <v>0</v>
      </c>
      <c r="AZ6" s="103">
        <f ca="1">IFERROR(__xludf.DUMMYFUNCTION("""COMPUTED_VALUE"""),0)</f>
        <v>0</v>
      </c>
      <c r="BA6" s="103">
        <f ca="1">IFERROR(__xludf.DUMMYFUNCTION("""COMPUTED_VALUE"""),24)</f>
        <v>24</v>
      </c>
      <c r="BB6" s="103">
        <f ca="1">IFERROR(__xludf.DUMMYFUNCTION("""COMPUTED_VALUE"""),22)</f>
        <v>22</v>
      </c>
      <c r="BC6" s="103"/>
      <c r="BD6" s="103"/>
      <c r="BE6" s="103"/>
      <c r="BF6" s="103"/>
      <c r="BG6" s="103"/>
      <c r="BH6" s="10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  <c r="D7" s="107">
        <f ca="1">IFERROR(__xludf.DUMMYFUNCTION("""COMPUTED_VALUE"""),44467.2765382638)</f>
        <v>44467.276538263803</v>
      </c>
      <c r="E7" s="103" t="str">
        <f ca="1">IFERROR(__xludf.DUMMYFUNCTION("""COMPUTED_VALUE"""),"p9@rtp.com")</f>
        <v>p9@rtp.com</v>
      </c>
      <c r="F7" s="103" t="str">
        <f ca="1">IFERROR(__xludf.DUMMYFUNCTION("""COMPUTED_VALUE"""),"rtp2021")</f>
        <v>rtp2021</v>
      </c>
      <c r="G7" s="103"/>
      <c r="H7" s="103" t="str">
        <f ca="1">IFERROR(__xludf.DUMMYFUNCTION("""COMPUTED_VALUE"""),"ภ.9")</f>
        <v>ภ.9</v>
      </c>
      <c r="I7" s="103">
        <f ca="1">IFERROR(__xludf.DUMMYFUNCTION("""COMPUTED_VALUE"""),0)</f>
        <v>0</v>
      </c>
      <c r="J7" s="103">
        <f ca="1">IFERROR(__xludf.DUMMYFUNCTION("""COMPUTED_VALUE"""),0)</f>
        <v>0</v>
      </c>
      <c r="K7" s="103">
        <f ca="1">IFERROR(__xludf.DUMMYFUNCTION("""COMPUTED_VALUE"""),0)</f>
        <v>0</v>
      </c>
      <c r="L7" s="103">
        <f ca="1">IFERROR(__xludf.DUMMYFUNCTION("""COMPUTED_VALUE"""),0)</f>
        <v>0</v>
      </c>
      <c r="M7" s="103">
        <f ca="1">IFERROR(__xludf.DUMMYFUNCTION("""COMPUTED_VALUE"""),0)</f>
        <v>0</v>
      </c>
      <c r="N7" s="103">
        <f ca="1">IFERROR(__xludf.DUMMYFUNCTION("""COMPUTED_VALUE"""),0)</f>
        <v>0</v>
      </c>
      <c r="O7" s="103">
        <f ca="1">IFERROR(__xludf.DUMMYFUNCTION("""COMPUTED_VALUE"""),0)</f>
        <v>0</v>
      </c>
      <c r="P7" s="103">
        <f ca="1">IFERROR(__xludf.DUMMYFUNCTION("""COMPUTED_VALUE"""),0)</f>
        <v>0</v>
      </c>
      <c r="Q7" s="103">
        <f ca="1">IFERROR(__xludf.DUMMYFUNCTION("""COMPUTED_VALUE"""),1)</f>
        <v>1</v>
      </c>
      <c r="R7" s="103">
        <f ca="1">IFERROR(__xludf.DUMMYFUNCTION("""COMPUTED_VALUE"""),1)</f>
        <v>1</v>
      </c>
      <c r="S7" s="103">
        <f ca="1">IFERROR(__xludf.DUMMYFUNCTION("""COMPUTED_VALUE"""),3)</f>
        <v>3</v>
      </c>
      <c r="T7" s="103">
        <f ca="1">IFERROR(__xludf.DUMMYFUNCTION("""COMPUTED_VALUE"""),11)</f>
        <v>11</v>
      </c>
      <c r="U7" s="103">
        <f ca="1">IFERROR(__xludf.DUMMYFUNCTION("""COMPUTED_VALUE"""),1)</f>
        <v>1</v>
      </c>
      <c r="V7" s="103">
        <f ca="1">IFERROR(__xludf.DUMMYFUNCTION("""COMPUTED_VALUE"""),1)</f>
        <v>1</v>
      </c>
      <c r="W7" s="103">
        <f ca="1">IFERROR(__xludf.DUMMYFUNCTION("""COMPUTED_VALUE"""),0)</f>
        <v>0</v>
      </c>
      <c r="X7" s="103">
        <f ca="1">IFERROR(__xludf.DUMMYFUNCTION("""COMPUTED_VALUE"""),0)</f>
        <v>0</v>
      </c>
      <c r="Y7" s="103">
        <f ca="1">IFERROR(__xludf.DUMMYFUNCTION("""COMPUTED_VALUE"""),0)</f>
        <v>0</v>
      </c>
      <c r="Z7" s="103">
        <f ca="1">IFERROR(__xludf.DUMMYFUNCTION("""COMPUTED_VALUE"""),0)</f>
        <v>0</v>
      </c>
      <c r="AA7" s="103">
        <f ca="1">IFERROR(__xludf.DUMMYFUNCTION("""COMPUTED_VALUE"""),0)</f>
        <v>0</v>
      </c>
      <c r="AB7" s="103">
        <f ca="1">IFERROR(__xludf.DUMMYFUNCTION("""COMPUTED_VALUE"""),0)</f>
        <v>0</v>
      </c>
      <c r="AC7" s="103">
        <f ca="1">IFERROR(__xludf.DUMMYFUNCTION("""COMPUTED_VALUE"""),15)</f>
        <v>15</v>
      </c>
      <c r="AD7" s="103">
        <f ca="1">IFERROR(__xludf.DUMMYFUNCTION("""COMPUTED_VALUE"""),17)</f>
        <v>17</v>
      </c>
      <c r="AE7" s="103">
        <f ca="1">IFERROR(__xludf.DUMMYFUNCTION("""COMPUTED_VALUE"""),29)</f>
        <v>29</v>
      </c>
      <c r="AF7" s="103">
        <f ca="1">IFERROR(__xludf.DUMMYFUNCTION("""COMPUTED_VALUE"""),29)</f>
        <v>29</v>
      </c>
      <c r="AG7" s="103">
        <f ca="1">IFERROR(__xludf.DUMMYFUNCTION("""COMPUTED_VALUE"""),21)</f>
        <v>21</v>
      </c>
      <c r="AH7" s="103">
        <f ca="1">IFERROR(__xludf.DUMMYFUNCTION("""COMPUTED_VALUE"""),21)</f>
        <v>21</v>
      </c>
      <c r="AI7" s="103">
        <f ca="1">IFERROR(__xludf.DUMMYFUNCTION("""COMPUTED_VALUE"""),0)</f>
        <v>0</v>
      </c>
      <c r="AJ7" s="103">
        <f ca="1">IFERROR(__xludf.DUMMYFUNCTION("""COMPUTED_VALUE"""),0)</f>
        <v>0</v>
      </c>
      <c r="AK7" s="103">
        <f ca="1">IFERROR(__xludf.DUMMYFUNCTION("""COMPUTED_VALUE"""),0)</f>
        <v>0</v>
      </c>
      <c r="AL7" s="103">
        <f ca="1">IFERROR(__xludf.DUMMYFUNCTION("""COMPUTED_VALUE"""),0)</f>
        <v>0</v>
      </c>
      <c r="AM7" s="103">
        <f ca="1">IFERROR(__xludf.DUMMYFUNCTION("""COMPUTED_VALUE"""),1)</f>
        <v>1</v>
      </c>
      <c r="AN7" s="103">
        <f ca="1">IFERROR(__xludf.DUMMYFUNCTION("""COMPUTED_VALUE"""),4)</f>
        <v>4</v>
      </c>
      <c r="AO7" s="103">
        <f ca="1">IFERROR(__xludf.DUMMYFUNCTION("""COMPUTED_VALUE"""),0)</f>
        <v>0</v>
      </c>
      <c r="AP7" s="103">
        <f ca="1">IFERROR(__xludf.DUMMYFUNCTION("""COMPUTED_VALUE"""),0)</f>
        <v>0</v>
      </c>
      <c r="AQ7" s="103">
        <f ca="1">IFERROR(__xludf.DUMMYFUNCTION("""COMPUTED_VALUE"""),4)</f>
        <v>4</v>
      </c>
      <c r="AR7" s="103">
        <f ca="1">IFERROR(__xludf.DUMMYFUNCTION("""COMPUTED_VALUE"""),3)</f>
        <v>3</v>
      </c>
      <c r="AS7" s="103">
        <f ca="1">IFERROR(__xludf.DUMMYFUNCTION("""COMPUTED_VALUE"""),1)</f>
        <v>1</v>
      </c>
      <c r="AT7" s="103">
        <f ca="1">IFERROR(__xludf.DUMMYFUNCTION("""COMPUTED_VALUE"""),1)</f>
        <v>1</v>
      </c>
      <c r="AU7" s="103">
        <f ca="1">IFERROR(__xludf.DUMMYFUNCTION("""COMPUTED_VALUE"""),0)</f>
        <v>0</v>
      </c>
      <c r="AV7" s="103">
        <f ca="1">IFERROR(__xludf.DUMMYFUNCTION("""COMPUTED_VALUE"""),0)</f>
        <v>0</v>
      </c>
      <c r="AW7" s="103">
        <f ca="1">IFERROR(__xludf.DUMMYFUNCTION("""COMPUTED_VALUE"""),1)</f>
        <v>1</v>
      </c>
      <c r="AX7" s="103">
        <f ca="1">IFERROR(__xludf.DUMMYFUNCTION("""COMPUTED_VALUE"""),1)</f>
        <v>1</v>
      </c>
      <c r="AY7" s="103">
        <f ca="1">IFERROR(__xludf.DUMMYFUNCTION("""COMPUTED_VALUE"""),0)</f>
        <v>0</v>
      </c>
      <c r="AZ7" s="103">
        <f ca="1">IFERROR(__xludf.DUMMYFUNCTION("""COMPUTED_VALUE"""),0)</f>
        <v>0</v>
      </c>
      <c r="BA7" s="103">
        <f ca="1">IFERROR(__xludf.DUMMYFUNCTION("""COMPUTED_VALUE"""),57)</f>
        <v>57</v>
      </c>
      <c r="BB7" s="103">
        <f ca="1">IFERROR(__xludf.DUMMYFUNCTION("""COMPUTED_VALUE"""),55)</f>
        <v>55</v>
      </c>
      <c r="BC7" s="103"/>
      <c r="BD7" s="103"/>
      <c r="BE7" s="103"/>
      <c r="BF7" s="103"/>
      <c r="BG7" s="103"/>
      <c r="BH7" s="103"/>
    </row>
    <row r="8" spans="1:67" ht="12.75">
      <c r="A8" s="114" t="s">
        <v>25</v>
      </c>
      <c r="B8" s="115"/>
      <c r="C8" s="116"/>
      <c r="D8" s="107">
        <f ca="1">IFERROR(__xludf.DUMMYFUNCTION("""COMPUTED_VALUE"""),44468.264765625)</f>
        <v>44468.264765624997</v>
      </c>
      <c r="E8" s="103" t="str">
        <f ca="1">IFERROR(__xludf.DUMMYFUNCTION("""COMPUTED_VALUE"""),"p9@rtp.com")</f>
        <v>p9@rtp.com</v>
      </c>
      <c r="F8" s="103" t="str">
        <f ca="1">IFERROR(__xludf.DUMMYFUNCTION("""COMPUTED_VALUE"""),"rtp2021")</f>
        <v>rtp2021</v>
      </c>
      <c r="G8" s="103"/>
      <c r="H8" s="103" t="str">
        <f ca="1">IFERROR(__xludf.DUMMYFUNCTION("""COMPUTED_VALUE"""),"ภ.9")</f>
        <v>ภ.9</v>
      </c>
      <c r="I8" s="103">
        <f ca="1">IFERROR(__xludf.DUMMYFUNCTION("""COMPUTED_VALUE"""),0)</f>
        <v>0</v>
      </c>
      <c r="J8" s="103">
        <f ca="1">IFERROR(__xludf.DUMMYFUNCTION("""COMPUTED_VALUE"""),0)</f>
        <v>0</v>
      </c>
      <c r="K8" s="103">
        <f ca="1">IFERROR(__xludf.DUMMYFUNCTION("""COMPUTED_VALUE"""),1)</f>
        <v>1</v>
      </c>
      <c r="L8" s="103">
        <f ca="1">IFERROR(__xludf.DUMMYFUNCTION("""COMPUTED_VALUE"""),1)</f>
        <v>1</v>
      </c>
      <c r="M8" s="103">
        <f ca="1">IFERROR(__xludf.DUMMYFUNCTION("""COMPUTED_VALUE"""),1)</f>
        <v>1</v>
      </c>
      <c r="N8" s="103">
        <f ca="1">IFERROR(__xludf.DUMMYFUNCTION("""COMPUTED_VALUE"""),1)</f>
        <v>1</v>
      </c>
      <c r="O8" s="103">
        <f ca="1">IFERROR(__xludf.DUMMYFUNCTION("""COMPUTED_VALUE"""),0)</f>
        <v>0</v>
      </c>
      <c r="P8" s="103">
        <f ca="1">IFERROR(__xludf.DUMMYFUNCTION("""COMPUTED_VALUE"""),0)</f>
        <v>0</v>
      </c>
      <c r="Q8" s="103">
        <f ca="1">IFERROR(__xludf.DUMMYFUNCTION("""COMPUTED_VALUE"""),0)</f>
        <v>0</v>
      </c>
      <c r="R8" s="103">
        <f ca="1">IFERROR(__xludf.DUMMYFUNCTION("""COMPUTED_VALUE"""),0)</f>
        <v>0</v>
      </c>
      <c r="S8" s="103">
        <f ca="1">IFERROR(__xludf.DUMMYFUNCTION("""COMPUTED_VALUE"""),3)</f>
        <v>3</v>
      </c>
      <c r="T8" s="103">
        <f ca="1">IFERROR(__xludf.DUMMYFUNCTION("""COMPUTED_VALUE"""),12)</f>
        <v>12</v>
      </c>
      <c r="U8" s="103">
        <f ca="1">IFERROR(__xludf.DUMMYFUNCTION("""COMPUTED_VALUE"""),1)</f>
        <v>1</v>
      </c>
      <c r="V8" s="103">
        <f ca="1">IFERROR(__xludf.DUMMYFUNCTION("""COMPUTED_VALUE"""),1)</f>
        <v>1</v>
      </c>
      <c r="W8" s="103">
        <f ca="1">IFERROR(__xludf.DUMMYFUNCTION("""COMPUTED_VALUE"""),0)</f>
        <v>0</v>
      </c>
      <c r="X8" s="103">
        <f ca="1">IFERROR(__xludf.DUMMYFUNCTION("""COMPUTED_VALUE"""),0)</f>
        <v>0</v>
      </c>
      <c r="Y8" s="103">
        <f ca="1">IFERROR(__xludf.DUMMYFUNCTION("""COMPUTED_VALUE"""),0)</f>
        <v>0</v>
      </c>
      <c r="Z8" s="103">
        <f ca="1">IFERROR(__xludf.DUMMYFUNCTION("""COMPUTED_VALUE"""),0)</f>
        <v>0</v>
      </c>
      <c r="AA8" s="103">
        <f ca="1">IFERROR(__xludf.DUMMYFUNCTION("""COMPUTED_VALUE"""),0)</f>
        <v>0</v>
      </c>
      <c r="AB8" s="103">
        <f ca="1">IFERROR(__xludf.DUMMYFUNCTION("""COMPUTED_VALUE"""),0)</f>
        <v>0</v>
      </c>
      <c r="AC8" s="103">
        <f ca="1">IFERROR(__xludf.DUMMYFUNCTION("""COMPUTED_VALUE"""),15)</f>
        <v>15</v>
      </c>
      <c r="AD8" s="103">
        <f ca="1">IFERROR(__xludf.DUMMYFUNCTION("""COMPUTED_VALUE"""),15)</f>
        <v>15</v>
      </c>
      <c r="AE8" s="103">
        <f ca="1">IFERROR(__xludf.DUMMYFUNCTION("""COMPUTED_VALUE"""),25)</f>
        <v>25</v>
      </c>
      <c r="AF8" s="103">
        <f ca="1">IFERROR(__xludf.DUMMYFUNCTION("""COMPUTED_VALUE"""),25)</f>
        <v>25</v>
      </c>
      <c r="AG8" s="103">
        <f ca="1">IFERROR(__xludf.DUMMYFUNCTION("""COMPUTED_VALUE"""),27)</f>
        <v>27</v>
      </c>
      <c r="AH8" s="103">
        <f ca="1">IFERROR(__xludf.DUMMYFUNCTION("""COMPUTED_VALUE"""),27)</f>
        <v>27</v>
      </c>
      <c r="AI8" s="103">
        <f ca="1">IFERROR(__xludf.DUMMYFUNCTION("""COMPUTED_VALUE"""),0)</f>
        <v>0</v>
      </c>
      <c r="AJ8" s="103">
        <f ca="1">IFERROR(__xludf.DUMMYFUNCTION("""COMPUTED_VALUE"""),0)</f>
        <v>0</v>
      </c>
      <c r="AK8" s="103">
        <f ca="1">IFERROR(__xludf.DUMMYFUNCTION("""COMPUTED_VALUE"""),0)</f>
        <v>0</v>
      </c>
      <c r="AL8" s="103">
        <f ca="1">IFERROR(__xludf.DUMMYFUNCTION("""COMPUTED_VALUE"""),0)</f>
        <v>0</v>
      </c>
      <c r="AM8" s="103">
        <f ca="1">IFERROR(__xludf.DUMMYFUNCTION("""COMPUTED_VALUE"""),3)</f>
        <v>3</v>
      </c>
      <c r="AN8" s="103">
        <f ca="1">IFERROR(__xludf.DUMMYFUNCTION("""COMPUTED_VALUE"""),8)</f>
        <v>8</v>
      </c>
      <c r="AO8" s="103">
        <f ca="1">IFERROR(__xludf.DUMMYFUNCTION("""COMPUTED_VALUE"""),0)</f>
        <v>0</v>
      </c>
      <c r="AP8" s="103">
        <f ca="1">IFERROR(__xludf.DUMMYFUNCTION("""COMPUTED_VALUE"""),0)</f>
        <v>0</v>
      </c>
      <c r="AQ8" s="103">
        <f ca="1">IFERROR(__xludf.DUMMYFUNCTION("""COMPUTED_VALUE"""),3)</f>
        <v>3</v>
      </c>
      <c r="AR8" s="103">
        <f ca="1">IFERROR(__xludf.DUMMYFUNCTION("""COMPUTED_VALUE"""),4)</f>
        <v>4</v>
      </c>
      <c r="AS8" s="103">
        <f ca="1">IFERROR(__xludf.DUMMYFUNCTION("""COMPUTED_VALUE"""),0)</f>
        <v>0</v>
      </c>
      <c r="AT8" s="103">
        <f ca="1">IFERROR(__xludf.DUMMYFUNCTION("""COMPUTED_VALUE"""),0)</f>
        <v>0</v>
      </c>
      <c r="AU8" s="103">
        <f ca="1">IFERROR(__xludf.DUMMYFUNCTION("""COMPUTED_VALUE"""),1)</f>
        <v>1</v>
      </c>
      <c r="AV8" s="103">
        <f ca="1">IFERROR(__xludf.DUMMYFUNCTION("""COMPUTED_VALUE"""),1)</f>
        <v>1</v>
      </c>
      <c r="AW8" s="103">
        <f ca="1">IFERROR(__xludf.DUMMYFUNCTION("""COMPUTED_VALUE"""),20)</f>
        <v>20</v>
      </c>
      <c r="AX8" s="103">
        <f ca="1">IFERROR(__xludf.DUMMYFUNCTION("""COMPUTED_VALUE"""),20)</f>
        <v>20</v>
      </c>
      <c r="AY8" s="103">
        <f ca="1">IFERROR(__xludf.DUMMYFUNCTION("""COMPUTED_VALUE"""),0)</f>
        <v>0</v>
      </c>
      <c r="AZ8" s="103">
        <f ca="1">IFERROR(__xludf.DUMMYFUNCTION("""COMPUTED_VALUE"""),0)</f>
        <v>0</v>
      </c>
      <c r="BA8" s="103">
        <f ca="1">IFERROR(__xludf.DUMMYFUNCTION("""COMPUTED_VALUE"""),44)</f>
        <v>44</v>
      </c>
      <c r="BB8" s="103">
        <f ca="1">IFERROR(__xludf.DUMMYFUNCTION("""COMPUTED_VALUE"""),43)</f>
        <v>43</v>
      </c>
      <c r="BC8" s="103"/>
      <c r="BD8" s="103"/>
      <c r="BE8" s="103"/>
      <c r="BF8" s="103"/>
      <c r="BG8" s="103"/>
      <c r="BH8" s="103"/>
    </row>
    <row r="9" spans="1:67" ht="12.75">
      <c r="A9" s="114" t="s">
        <v>26</v>
      </c>
      <c r="B9" s="115">
        <f t="shared" ref="B9:C9" ca="1" si="1">SUM(K:K)</f>
        <v>2</v>
      </c>
      <c r="C9" s="116">
        <f t="shared" ca="1" si="1"/>
        <v>2</v>
      </c>
      <c r="D9" s="107">
        <f ca="1">IFERROR(__xludf.DUMMYFUNCTION("""COMPUTED_VALUE"""),44469.2611522453)</f>
        <v>44469.261152245301</v>
      </c>
      <c r="E9" s="103" t="str">
        <f ca="1">IFERROR(__xludf.DUMMYFUNCTION("""COMPUTED_VALUE"""),"p9@rtp.com")</f>
        <v>p9@rtp.com</v>
      </c>
      <c r="F9" s="103" t="str">
        <f ca="1">IFERROR(__xludf.DUMMYFUNCTION("""COMPUTED_VALUE"""),"rtp2021")</f>
        <v>rtp2021</v>
      </c>
      <c r="G9" s="103"/>
      <c r="H9" s="103" t="str">
        <f ca="1">IFERROR(__xludf.DUMMYFUNCTION("""COMPUTED_VALUE"""),"ภ.9")</f>
        <v>ภ.9</v>
      </c>
      <c r="I9" s="103">
        <f ca="1">IFERROR(__xludf.DUMMYFUNCTION("""COMPUTED_VALUE"""),0)</f>
        <v>0</v>
      </c>
      <c r="J9" s="103">
        <f ca="1">IFERROR(__xludf.DUMMYFUNCTION("""COMPUTED_VALUE"""),0)</f>
        <v>0</v>
      </c>
      <c r="K9" s="103">
        <f ca="1">IFERROR(__xludf.DUMMYFUNCTION("""COMPUTED_VALUE"""),0)</f>
        <v>0</v>
      </c>
      <c r="L9" s="103">
        <f ca="1">IFERROR(__xludf.DUMMYFUNCTION("""COMPUTED_VALUE"""),0)</f>
        <v>0</v>
      </c>
      <c r="M9" s="103">
        <f ca="1">IFERROR(__xludf.DUMMYFUNCTION("""COMPUTED_VALUE"""),0)</f>
        <v>0</v>
      </c>
      <c r="N9" s="103">
        <f ca="1">IFERROR(__xludf.DUMMYFUNCTION("""COMPUTED_VALUE"""),0)</f>
        <v>0</v>
      </c>
      <c r="O9" s="103">
        <f ca="1">IFERROR(__xludf.DUMMYFUNCTION("""COMPUTED_VALUE"""),1)</f>
        <v>1</v>
      </c>
      <c r="P9" s="103">
        <f ca="1">IFERROR(__xludf.DUMMYFUNCTION("""COMPUTED_VALUE"""),1)</f>
        <v>1</v>
      </c>
      <c r="Q9" s="103">
        <f ca="1">IFERROR(__xludf.DUMMYFUNCTION("""COMPUTED_VALUE"""),0)</f>
        <v>0</v>
      </c>
      <c r="R9" s="103">
        <f ca="1">IFERROR(__xludf.DUMMYFUNCTION("""COMPUTED_VALUE"""),0)</f>
        <v>0</v>
      </c>
      <c r="S9" s="103">
        <f ca="1">IFERROR(__xludf.DUMMYFUNCTION("""COMPUTED_VALUE"""),3)</f>
        <v>3</v>
      </c>
      <c r="T9" s="103">
        <f ca="1">IFERROR(__xludf.DUMMYFUNCTION("""COMPUTED_VALUE"""),7)</f>
        <v>7</v>
      </c>
      <c r="U9" s="103">
        <f ca="1">IFERROR(__xludf.DUMMYFUNCTION("""COMPUTED_VALUE"""),0)</f>
        <v>0</v>
      </c>
      <c r="V9" s="103">
        <f ca="1">IFERROR(__xludf.DUMMYFUNCTION("""COMPUTED_VALUE"""),0)</f>
        <v>0</v>
      </c>
      <c r="W9" s="103">
        <f ca="1">IFERROR(__xludf.DUMMYFUNCTION("""COMPUTED_VALUE"""),0)</f>
        <v>0</v>
      </c>
      <c r="X9" s="103">
        <f ca="1">IFERROR(__xludf.DUMMYFUNCTION("""COMPUTED_VALUE"""),0)</f>
        <v>0</v>
      </c>
      <c r="Y9" s="103">
        <f ca="1">IFERROR(__xludf.DUMMYFUNCTION("""COMPUTED_VALUE"""),0)</f>
        <v>0</v>
      </c>
      <c r="Z9" s="103">
        <f ca="1">IFERROR(__xludf.DUMMYFUNCTION("""COMPUTED_VALUE"""),0)</f>
        <v>0</v>
      </c>
      <c r="AA9" s="103">
        <f ca="1">IFERROR(__xludf.DUMMYFUNCTION("""COMPUTED_VALUE"""),0)</f>
        <v>0</v>
      </c>
      <c r="AB9" s="103">
        <f ca="1">IFERROR(__xludf.DUMMYFUNCTION("""COMPUTED_VALUE"""),0)</f>
        <v>0</v>
      </c>
      <c r="AC9" s="103">
        <f ca="1">IFERROR(__xludf.DUMMYFUNCTION("""COMPUTED_VALUE"""),14)</f>
        <v>14</v>
      </c>
      <c r="AD9" s="103">
        <f ca="1">IFERROR(__xludf.DUMMYFUNCTION("""COMPUTED_VALUE"""),13)</f>
        <v>13</v>
      </c>
      <c r="AE9" s="103">
        <f ca="1">IFERROR(__xludf.DUMMYFUNCTION("""COMPUTED_VALUE"""),18)</f>
        <v>18</v>
      </c>
      <c r="AF9" s="103">
        <f ca="1">IFERROR(__xludf.DUMMYFUNCTION("""COMPUTED_VALUE"""),21)</f>
        <v>21</v>
      </c>
      <c r="AG9" s="103">
        <f ca="1">IFERROR(__xludf.DUMMYFUNCTION("""COMPUTED_VALUE"""),18)</f>
        <v>18</v>
      </c>
      <c r="AH9" s="103">
        <f ca="1">IFERROR(__xludf.DUMMYFUNCTION("""COMPUTED_VALUE"""),18)</f>
        <v>18</v>
      </c>
      <c r="AI9" s="103">
        <f ca="1">IFERROR(__xludf.DUMMYFUNCTION("""COMPUTED_VALUE"""),0)</f>
        <v>0</v>
      </c>
      <c r="AJ9" s="103">
        <f ca="1">IFERROR(__xludf.DUMMYFUNCTION("""COMPUTED_VALUE"""),0)</f>
        <v>0</v>
      </c>
      <c r="AK9" s="103">
        <f ca="1">IFERROR(__xludf.DUMMYFUNCTION("""COMPUTED_VALUE"""),0)</f>
        <v>0</v>
      </c>
      <c r="AL9" s="103">
        <f ca="1">IFERROR(__xludf.DUMMYFUNCTION("""COMPUTED_VALUE"""),0)</f>
        <v>0</v>
      </c>
      <c r="AM9" s="103">
        <f ca="1">IFERROR(__xludf.DUMMYFUNCTION("""COMPUTED_VALUE"""),4)</f>
        <v>4</v>
      </c>
      <c r="AN9" s="103">
        <f ca="1">IFERROR(__xludf.DUMMYFUNCTION("""COMPUTED_VALUE"""),14)</f>
        <v>14</v>
      </c>
      <c r="AO9" s="103">
        <f ca="1">IFERROR(__xludf.DUMMYFUNCTION("""COMPUTED_VALUE"""),0)</f>
        <v>0</v>
      </c>
      <c r="AP9" s="103">
        <f ca="1">IFERROR(__xludf.DUMMYFUNCTION("""COMPUTED_VALUE"""),0)</f>
        <v>0</v>
      </c>
      <c r="AQ9" s="103">
        <f ca="1">IFERROR(__xludf.DUMMYFUNCTION("""COMPUTED_VALUE"""),4)</f>
        <v>4</v>
      </c>
      <c r="AR9" s="103">
        <f ca="1">IFERROR(__xludf.DUMMYFUNCTION("""COMPUTED_VALUE"""),4)</f>
        <v>4</v>
      </c>
      <c r="AS9" s="103">
        <f ca="1">IFERROR(__xludf.DUMMYFUNCTION("""COMPUTED_VALUE"""),7)</f>
        <v>7</v>
      </c>
      <c r="AT9" s="103">
        <f ca="1">IFERROR(__xludf.DUMMYFUNCTION("""COMPUTED_VALUE"""),7)</f>
        <v>7</v>
      </c>
      <c r="AU9" s="103">
        <f ca="1">IFERROR(__xludf.DUMMYFUNCTION("""COMPUTED_VALUE"""),0)</f>
        <v>0</v>
      </c>
      <c r="AV9" s="103">
        <f ca="1">IFERROR(__xludf.DUMMYFUNCTION("""COMPUTED_VALUE"""),0)</f>
        <v>0</v>
      </c>
      <c r="AW9" s="103">
        <f ca="1">IFERROR(__xludf.DUMMYFUNCTION("""COMPUTED_VALUE"""),17)</f>
        <v>17</v>
      </c>
      <c r="AX9" s="103">
        <f ca="1">IFERROR(__xludf.DUMMYFUNCTION("""COMPUTED_VALUE"""),17)</f>
        <v>17</v>
      </c>
      <c r="AY9" s="103">
        <f ca="1">IFERROR(__xludf.DUMMYFUNCTION("""COMPUTED_VALUE"""),0)</f>
        <v>0</v>
      </c>
      <c r="AZ9" s="103">
        <f ca="1">IFERROR(__xludf.DUMMYFUNCTION("""COMPUTED_VALUE"""),0)</f>
        <v>0</v>
      </c>
      <c r="BA9" s="103">
        <f ca="1">IFERROR(__xludf.DUMMYFUNCTION("""COMPUTED_VALUE"""),49)</f>
        <v>49</v>
      </c>
      <c r="BB9" s="103">
        <f ca="1">IFERROR(__xludf.DUMMYFUNCTION("""COMPUTED_VALUE"""),38)</f>
        <v>38</v>
      </c>
      <c r="BC9" s="103"/>
      <c r="BD9" s="103"/>
      <c r="BE9" s="103"/>
      <c r="BF9" s="103"/>
      <c r="BG9" s="103"/>
      <c r="BH9" s="103"/>
    </row>
    <row r="10" spans="1:67" ht="12.75">
      <c r="A10" s="114" t="s">
        <v>27</v>
      </c>
      <c r="B10" s="115">
        <f t="shared" ref="B10:C10" ca="1" si="2">SUM(M:M)</f>
        <v>3</v>
      </c>
      <c r="C10" s="116">
        <f t="shared" ca="1" si="2"/>
        <v>3</v>
      </c>
      <c r="D10" s="107">
        <f ca="1">IFERROR(__xludf.DUMMYFUNCTION("""COMPUTED_VALUE"""),44470.3069880208)</f>
        <v>44470.306988020799</v>
      </c>
      <c r="E10" s="103" t="str">
        <f ca="1">IFERROR(__xludf.DUMMYFUNCTION("""COMPUTED_VALUE"""),"p9@rtp.com")</f>
        <v>p9@rtp.com</v>
      </c>
      <c r="F10" s="103" t="str">
        <f ca="1">IFERROR(__xludf.DUMMYFUNCTION("""COMPUTED_VALUE"""),"rtp2021")</f>
        <v>rtp2021</v>
      </c>
      <c r="G10" s="103"/>
      <c r="H10" s="103" t="str">
        <f ca="1">IFERROR(__xludf.DUMMYFUNCTION("""COMPUTED_VALUE"""),"ภ.9")</f>
        <v>ภ.9</v>
      </c>
      <c r="I10" s="103">
        <f ca="1">IFERROR(__xludf.DUMMYFUNCTION("""COMPUTED_VALUE"""),0)</f>
        <v>0</v>
      </c>
      <c r="J10" s="103">
        <f ca="1">IFERROR(__xludf.DUMMYFUNCTION("""COMPUTED_VALUE"""),0)</f>
        <v>0</v>
      </c>
      <c r="K10" s="103">
        <f ca="1">IFERROR(__xludf.DUMMYFUNCTION("""COMPUTED_VALUE"""),1)</f>
        <v>1</v>
      </c>
      <c r="L10" s="103">
        <f ca="1">IFERROR(__xludf.DUMMYFUNCTION("""COMPUTED_VALUE"""),1)</f>
        <v>1</v>
      </c>
      <c r="M10" s="103">
        <f ca="1">IFERROR(__xludf.DUMMYFUNCTION("""COMPUTED_VALUE"""),2)</f>
        <v>2</v>
      </c>
      <c r="N10" s="103">
        <f ca="1">IFERROR(__xludf.DUMMYFUNCTION("""COMPUTED_VALUE"""),2)</f>
        <v>2</v>
      </c>
      <c r="O10" s="103">
        <f ca="1">IFERROR(__xludf.DUMMYFUNCTION("""COMPUTED_VALUE"""),3)</f>
        <v>3</v>
      </c>
      <c r="P10" s="103">
        <f ca="1">IFERROR(__xludf.DUMMYFUNCTION("""COMPUTED_VALUE"""),4)</f>
        <v>4</v>
      </c>
      <c r="Q10" s="103">
        <f ca="1">IFERROR(__xludf.DUMMYFUNCTION("""COMPUTED_VALUE"""),0)</f>
        <v>0</v>
      </c>
      <c r="R10" s="103">
        <f ca="1">IFERROR(__xludf.DUMMYFUNCTION("""COMPUTED_VALUE"""),0)</f>
        <v>0</v>
      </c>
      <c r="S10" s="103">
        <f ca="1">IFERROR(__xludf.DUMMYFUNCTION("""COMPUTED_VALUE"""),2)</f>
        <v>2</v>
      </c>
      <c r="T10" s="103">
        <f ca="1">IFERROR(__xludf.DUMMYFUNCTION("""COMPUTED_VALUE"""),7)</f>
        <v>7</v>
      </c>
      <c r="U10" s="103">
        <f ca="1">IFERROR(__xludf.DUMMYFUNCTION("""COMPUTED_VALUE"""),1)</f>
        <v>1</v>
      </c>
      <c r="V10" s="103">
        <f ca="1">IFERROR(__xludf.DUMMYFUNCTION("""COMPUTED_VALUE"""),1)</f>
        <v>1</v>
      </c>
      <c r="W10" s="103">
        <f ca="1">IFERROR(__xludf.DUMMYFUNCTION("""COMPUTED_VALUE"""),0)</f>
        <v>0</v>
      </c>
      <c r="X10" s="103">
        <f ca="1">IFERROR(__xludf.DUMMYFUNCTION("""COMPUTED_VALUE"""),0)</f>
        <v>0</v>
      </c>
      <c r="Y10" s="103">
        <f ca="1">IFERROR(__xludf.DUMMYFUNCTION("""COMPUTED_VALUE"""),0)</f>
        <v>0</v>
      </c>
      <c r="Z10" s="103">
        <f ca="1">IFERROR(__xludf.DUMMYFUNCTION("""COMPUTED_VALUE"""),0)</f>
        <v>0</v>
      </c>
      <c r="AA10" s="103">
        <f ca="1">IFERROR(__xludf.DUMMYFUNCTION("""COMPUTED_VALUE"""),0)</f>
        <v>0</v>
      </c>
      <c r="AB10" s="103">
        <f ca="1">IFERROR(__xludf.DUMMYFUNCTION("""COMPUTED_VALUE"""),0)</f>
        <v>0</v>
      </c>
      <c r="AC10" s="103">
        <f ca="1">IFERROR(__xludf.DUMMYFUNCTION("""COMPUTED_VALUE"""),14)</f>
        <v>14</v>
      </c>
      <c r="AD10" s="103">
        <f ca="1">IFERROR(__xludf.DUMMYFUNCTION("""COMPUTED_VALUE"""),14)</f>
        <v>14</v>
      </c>
      <c r="AE10" s="103">
        <f ca="1">IFERROR(__xludf.DUMMYFUNCTION("""COMPUTED_VALUE"""),16)</f>
        <v>16</v>
      </c>
      <c r="AF10" s="103">
        <f ca="1">IFERROR(__xludf.DUMMYFUNCTION("""COMPUTED_VALUE"""),18)</f>
        <v>18</v>
      </c>
      <c r="AG10" s="103">
        <f ca="1">IFERROR(__xludf.DUMMYFUNCTION("""COMPUTED_VALUE"""),18)</f>
        <v>18</v>
      </c>
      <c r="AH10" s="103">
        <f ca="1">IFERROR(__xludf.DUMMYFUNCTION("""COMPUTED_VALUE"""),18)</f>
        <v>18</v>
      </c>
      <c r="AI10" s="103">
        <f ca="1">IFERROR(__xludf.DUMMYFUNCTION("""COMPUTED_VALUE"""),1)</f>
        <v>1</v>
      </c>
      <c r="AJ10" s="103">
        <f ca="1">IFERROR(__xludf.DUMMYFUNCTION("""COMPUTED_VALUE"""),1)</f>
        <v>1</v>
      </c>
      <c r="AK10" s="103">
        <f ca="1">IFERROR(__xludf.DUMMYFUNCTION("""COMPUTED_VALUE"""),0)</f>
        <v>0</v>
      </c>
      <c r="AL10" s="103">
        <f ca="1">IFERROR(__xludf.DUMMYFUNCTION("""COMPUTED_VALUE"""),0)</f>
        <v>0</v>
      </c>
      <c r="AM10" s="103">
        <f ca="1">IFERROR(__xludf.DUMMYFUNCTION("""COMPUTED_VALUE"""),1)</f>
        <v>1</v>
      </c>
      <c r="AN10" s="103">
        <f ca="1">IFERROR(__xludf.DUMMYFUNCTION("""COMPUTED_VALUE"""),12)</f>
        <v>12</v>
      </c>
      <c r="AO10" s="103">
        <f ca="1">IFERROR(__xludf.DUMMYFUNCTION("""COMPUTED_VALUE"""),0)</f>
        <v>0</v>
      </c>
      <c r="AP10" s="103">
        <f ca="1">IFERROR(__xludf.DUMMYFUNCTION("""COMPUTED_VALUE"""),0)</f>
        <v>0</v>
      </c>
      <c r="AQ10" s="103">
        <f ca="1">IFERROR(__xludf.DUMMYFUNCTION("""COMPUTED_VALUE"""),1)</f>
        <v>1</v>
      </c>
      <c r="AR10" s="103">
        <f ca="1">IFERROR(__xludf.DUMMYFUNCTION("""COMPUTED_VALUE"""),2)</f>
        <v>2</v>
      </c>
      <c r="AS10" s="103">
        <f ca="1">IFERROR(__xludf.DUMMYFUNCTION("""COMPUTED_VALUE"""),1)</f>
        <v>1</v>
      </c>
      <c r="AT10" s="103">
        <f ca="1">IFERROR(__xludf.DUMMYFUNCTION("""COMPUTED_VALUE"""),1)</f>
        <v>1</v>
      </c>
      <c r="AU10" s="103">
        <f ca="1">IFERROR(__xludf.DUMMYFUNCTION("""COMPUTED_VALUE"""),0)</f>
        <v>0</v>
      </c>
      <c r="AV10" s="103">
        <f ca="1">IFERROR(__xludf.DUMMYFUNCTION("""COMPUTED_VALUE"""),0)</f>
        <v>0</v>
      </c>
      <c r="AW10" s="103">
        <f ca="1">IFERROR(__xludf.DUMMYFUNCTION("""COMPUTED_VALUE"""),29)</f>
        <v>29</v>
      </c>
      <c r="AX10" s="103">
        <f ca="1">IFERROR(__xludf.DUMMYFUNCTION("""COMPUTED_VALUE"""),29)</f>
        <v>29</v>
      </c>
      <c r="AY10" s="103">
        <f ca="1">IFERROR(__xludf.DUMMYFUNCTION("""COMPUTED_VALUE"""),0)</f>
        <v>0</v>
      </c>
      <c r="AZ10" s="103">
        <f ca="1">IFERROR(__xludf.DUMMYFUNCTION("""COMPUTED_VALUE"""),0)</f>
        <v>0</v>
      </c>
      <c r="BA10" s="103">
        <f ca="1">IFERROR(__xludf.DUMMYFUNCTION("""COMPUTED_VALUE"""),30)</f>
        <v>30</v>
      </c>
      <c r="BB10" s="103">
        <f ca="1">IFERROR(__xludf.DUMMYFUNCTION("""COMPUTED_VALUE"""),29)</f>
        <v>29</v>
      </c>
      <c r="BC10" s="103"/>
      <c r="BD10" s="103"/>
      <c r="BE10" s="103"/>
      <c r="BF10" s="103"/>
      <c r="BG10" s="103"/>
      <c r="BH10" s="103"/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4</v>
      </c>
      <c r="C12" s="116">
        <f t="shared" ca="1" si="3"/>
        <v>5</v>
      </c>
    </row>
    <row r="13" spans="1:67" ht="12.75">
      <c r="A13" s="114" t="s">
        <v>30</v>
      </c>
      <c r="B13" s="115">
        <f t="shared" ref="B13:C13" ca="1" si="4">SUM(Q:Q)</f>
        <v>3</v>
      </c>
      <c r="C13" s="116">
        <f t="shared" ca="1" si="4"/>
        <v>6</v>
      </c>
    </row>
    <row r="14" spans="1:67" ht="12.75">
      <c r="A14" s="114" t="s">
        <v>31</v>
      </c>
      <c r="B14" s="115">
        <f t="shared" ref="B14:C14" ca="1" si="5">SUM(S:S)</f>
        <v>16</v>
      </c>
      <c r="C14" s="116">
        <f t="shared" ca="1" si="5"/>
        <v>53</v>
      </c>
    </row>
    <row r="15" spans="1:67" ht="12.75">
      <c r="A15" s="117" t="s">
        <v>32</v>
      </c>
      <c r="B15" s="118">
        <f t="shared" ref="B15:C15" ca="1" si="6">SUM(B6:B14)</f>
        <v>28</v>
      </c>
      <c r="C15" s="119">
        <f t="shared" ca="1" si="6"/>
        <v>69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7</v>
      </c>
      <c r="C17" s="116">
        <f t="shared" ca="1" si="7"/>
        <v>7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3</v>
      </c>
      <c r="C20" s="116">
        <f t="shared" ca="1" si="10"/>
        <v>3</v>
      </c>
    </row>
    <row r="21" spans="1:3" ht="12.75">
      <c r="A21" s="114" t="s">
        <v>38</v>
      </c>
      <c r="B21" s="115">
        <f t="shared" ref="B21:C21" ca="1" si="11">SUM(AC:AC)</f>
        <v>101</v>
      </c>
      <c r="C21" s="116">
        <f t="shared" ca="1" si="11"/>
        <v>112</v>
      </c>
    </row>
    <row r="22" spans="1:3" ht="12.75">
      <c r="A22" s="114" t="s">
        <v>39</v>
      </c>
      <c r="B22" s="115">
        <f t="shared" ref="B22:C22" ca="1" si="12">SUM(AE:AE)</f>
        <v>203</v>
      </c>
      <c r="C22" s="116">
        <f t="shared" ca="1" si="12"/>
        <v>211</v>
      </c>
    </row>
    <row r="23" spans="1:3" ht="12.75">
      <c r="A23" s="114" t="s">
        <v>40</v>
      </c>
      <c r="B23" s="115">
        <f t="shared" ref="B23:C23" ca="1" si="13">SUM(AG:AG)</f>
        <v>173</v>
      </c>
      <c r="C23" s="116">
        <f t="shared" ca="1" si="13"/>
        <v>173</v>
      </c>
    </row>
    <row r="24" spans="1:3" ht="12.75">
      <c r="A24" s="117" t="s">
        <v>32</v>
      </c>
      <c r="B24" s="118">
        <f t="shared" ref="B24:C24" ca="1" si="14">SUM(B17:B23)</f>
        <v>487</v>
      </c>
      <c r="C24" s="119">
        <f t="shared" ca="1" si="14"/>
        <v>506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3</v>
      </c>
      <c r="C26" s="116">
        <f t="shared" ca="1" si="15"/>
        <v>3</v>
      </c>
    </row>
    <row r="27" spans="1:3" ht="12.75">
      <c r="A27" s="114" t="s">
        <v>43</v>
      </c>
      <c r="B27" s="115">
        <f t="shared" ref="B27:C27" ca="1" si="16">SUM(AK:AK)</f>
        <v>3</v>
      </c>
      <c r="C27" s="116">
        <f t="shared" ca="1" si="16"/>
        <v>4</v>
      </c>
    </row>
    <row r="28" spans="1:3" ht="12.75">
      <c r="A28" s="114" t="s">
        <v>44</v>
      </c>
      <c r="B28" s="115">
        <f t="shared" ref="B28:C28" ca="1" si="17">SUM(AM:AM)</f>
        <v>11</v>
      </c>
      <c r="C28" s="116">
        <f t="shared" ca="1" si="17"/>
        <v>51</v>
      </c>
    </row>
    <row r="29" spans="1:3" ht="12.75">
      <c r="A29" s="117" t="s">
        <v>32</v>
      </c>
      <c r="B29" s="118">
        <f t="shared" ref="B29:C29" ca="1" si="18">SUM(B26:B28)</f>
        <v>17</v>
      </c>
      <c r="C29" s="119">
        <f t="shared" ca="1" si="18"/>
        <v>58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24</v>
      </c>
      <c r="C32" s="116">
        <f t="shared" ca="1" si="20"/>
        <v>25</v>
      </c>
    </row>
    <row r="33" spans="1:67" ht="12.75">
      <c r="A33" s="114" t="s">
        <v>48</v>
      </c>
      <c r="B33" s="115">
        <f t="shared" ref="B33:C33" ca="1" si="21">SUM(AS:AS)</f>
        <v>9</v>
      </c>
      <c r="C33" s="116">
        <f t="shared" ca="1" si="21"/>
        <v>9</v>
      </c>
    </row>
    <row r="34" spans="1:67" ht="12.75">
      <c r="A34" s="114" t="s">
        <v>49</v>
      </c>
      <c r="B34" s="115">
        <f t="shared" ref="B34:C34" ca="1" si="22">SUM(AU:AU)</f>
        <v>3</v>
      </c>
      <c r="C34" s="116">
        <f t="shared" ca="1" si="22"/>
        <v>3</v>
      </c>
    </row>
    <row r="35" spans="1:67" ht="12.75">
      <c r="A35" s="114" t="s">
        <v>50</v>
      </c>
      <c r="B35" s="115">
        <f t="shared" ref="B35:C35" ca="1" si="23">SUM(AW:AW)</f>
        <v>87</v>
      </c>
      <c r="C35" s="116">
        <f t="shared" ca="1" si="23"/>
        <v>87</v>
      </c>
    </row>
    <row r="36" spans="1:67" ht="12.75">
      <c r="A36" s="117" t="s">
        <v>32</v>
      </c>
      <c r="B36" s="118">
        <f t="shared" ref="B36:C36" ca="1" si="24">SUM(B31:B35)</f>
        <v>123</v>
      </c>
      <c r="C36" s="119">
        <f t="shared" ca="1" si="24"/>
        <v>124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305</v>
      </c>
      <c r="C38" s="124">
        <f t="shared" ca="1" si="26"/>
        <v>286</v>
      </c>
    </row>
    <row r="39" spans="1:67" ht="15">
      <c r="A39" s="126" t="s">
        <v>20</v>
      </c>
      <c r="B39" s="127">
        <f t="shared" ref="B39:C39" ca="1" si="27">SUM(B15,B24,B29,B36,B37,B38)</f>
        <v>960</v>
      </c>
      <c r="C39" s="128">
        <f t="shared" ca="1" si="27"/>
        <v>1043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P39"/>
  <sheetViews>
    <sheetView showGridLines="0" workbookViewId="0"/>
  </sheetViews>
  <sheetFormatPr defaultColWidth="14.42578125" defaultRowHeight="15.75" customHeight="1"/>
  <cols>
    <col min="1" max="1" width="42.7109375" customWidth="1"/>
    <col min="2" max="4" width="19.5703125" customWidth="1"/>
    <col min="5" max="5" width="17.7109375" customWidth="1"/>
  </cols>
  <sheetData>
    <row r="1" spans="1:68" ht="15.75" customHeight="1">
      <c r="A1" s="729" t="s">
        <v>17</v>
      </c>
      <c r="B1" s="665"/>
      <c r="C1" s="665"/>
      <c r="D1" s="667"/>
    </row>
    <row r="2" spans="1:68" ht="12.75">
      <c r="A2" s="100"/>
      <c r="B2" s="132"/>
      <c r="C2" s="101"/>
      <c r="D2" s="102" t="s">
        <v>72</v>
      </c>
      <c r="E2" s="103" t="str">
        <f ca="1">IFERROR(__xludf.DUMMYFUNCTION("QUERY('Form Responses 1'!A:BE,""select * where E='""&amp;A3&amp;""'"")"),"Timestamp")</f>
        <v>Timestamp</v>
      </c>
      <c r="F2" s="103" t="str">
        <f ca="1">IFERROR(__xludf.DUMMYFUNCTION("""COMPUTED_VALUE"""),"Email")</f>
        <v>Email</v>
      </c>
      <c r="G2" s="103" t="str">
        <f ca="1">IFERROR(__xludf.DUMMYFUNCTION("""COMPUTED_VALUE"""),"Password")</f>
        <v>Password</v>
      </c>
      <c r="H2" s="103" t="str">
        <f ca="1">IFERROR(__xludf.DUMMYFUNCTION("""COMPUTED_VALUE"""),"Blank")</f>
        <v>Blank</v>
      </c>
      <c r="I2" s="103" t="str">
        <f ca="1">IFERROR(__xludf.DUMMYFUNCTION("""COMPUTED_VALUE"""),"หน่วยงาน")</f>
        <v>หน่วยงาน</v>
      </c>
      <c r="J2" s="103" t="str">
        <f ca="1">IFERROR(__xludf.DUMMYFUNCTION("""COMPUTED_VALUE"""),"จำนวน(ราย)")</f>
        <v>จำนวน(ราย)</v>
      </c>
      <c r="K2" s="103" t="str">
        <f ca="1">IFERROR(__xludf.DUMMYFUNCTION("""COMPUTED_VALUE"""),"จำนวน(คน)")</f>
        <v>จำนวน(คน)</v>
      </c>
      <c r="L2" s="103" t="str">
        <f ca="1">IFERROR(__xludf.DUMMYFUNCTION("""COMPUTED_VALUE"""),"จำนวน(ราย)")</f>
        <v>จำนวน(ราย)</v>
      </c>
      <c r="M2" s="103" t="str">
        <f ca="1">IFERROR(__xludf.DUMMYFUNCTION("""COMPUTED_VALUE"""),"จำนวน(คน)")</f>
        <v>จำนวน(คน)</v>
      </c>
      <c r="N2" s="103" t="str">
        <f ca="1">IFERROR(__xludf.DUMMYFUNCTION("""COMPUTED_VALUE"""),"จำนวน(ราย)")</f>
        <v>จำนวน(ราย)</v>
      </c>
      <c r="O2" s="103" t="str">
        <f ca="1">IFERROR(__xludf.DUMMYFUNCTION("""COMPUTED_VALUE"""),"จำนวน(คน)")</f>
        <v>จำนวน(คน)</v>
      </c>
      <c r="P2" s="103" t="str">
        <f ca="1">IFERROR(__xludf.DUMMYFUNCTION("""COMPUTED_VALUE"""),"จำนวน(ราย)")</f>
        <v>จำนวน(ราย)</v>
      </c>
      <c r="Q2" s="103" t="str">
        <f ca="1">IFERROR(__xludf.DUMMYFUNCTION("""COMPUTED_VALUE"""),"จำนวน(คน)")</f>
        <v>จำนวน(คน)</v>
      </c>
      <c r="R2" s="103" t="str">
        <f ca="1">IFERROR(__xludf.DUMMYFUNCTION("""COMPUTED_VALUE"""),"จำนวน(ราย)")</f>
        <v>จำนวน(ราย)</v>
      </c>
      <c r="S2" s="103" t="str">
        <f ca="1">IFERROR(__xludf.DUMMYFUNCTION("""COMPUTED_VALUE"""),"จำนวน(คน)")</f>
        <v>จำนวน(คน)</v>
      </c>
      <c r="T2" s="103" t="str">
        <f ca="1">IFERROR(__xludf.DUMMYFUNCTION("""COMPUTED_VALUE"""),"จำนวน(ราย)")</f>
        <v>จำนวน(ราย)</v>
      </c>
      <c r="U2" s="103" t="str">
        <f ca="1">IFERROR(__xludf.DUMMYFUNCTION("""COMPUTED_VALUE"""),"จำนวน(คน)")</f>
        <v>จำนวน(คน)</v>
      </c>
      <c r="V2" s="103" t="str">
        <f ca="1">IFERROR(__xludf.DUMMYFUNCTION("""COMPUTED_VALUE"""),"จำนวน(ราย)")</f>
        <v>จำนวน(ราย)</v>
      </c>
      <c r="W2" s="103" t="str">
        <f ca="1">IFERROR(__xludf.DUMMYFUNCTION("""COMPUTED_VALUE"""),"จำนวน(คน)")</f>
        <v>จำนวน(คน)</v>
      </c>
      <c r="X2" s="103" t="str">
        <f ca="1">IFERROR(__xludf.DUMMYFUNCTION("""COMPUTED_VALUE"""),"จำนวน(ราย)")</f>
        <v>จำนวน(ราย)</v>
      </c>
      <c r="Y2" s="103" t="str">
        <f ca="1">IFERROR(__xludf.DUMMYFUNCTION("""COMPUTED_VALUE"""),"จำนวน(คน)")</f>
        <v>จำนวน(คน)</v>
      </c>
      <c r="Z2" s="103" t="str">
        <f ca="1">IFERROR(__xludf.DUMMYFUNCTION("""COMPUTED_VALUE"""),"จำนวน(ราย)")</f>
        <v>จำนวน(ราย)</v>
      </c>
      <c r="AA2" s="103" t="str">
        <f ca="1">IFERROR(__xludf.DUMMYFUNCTION("""COMPUTED_VALUE"""),"จำนวน(คน)")</f>
        <v>จำนวน(คน)</v>
      </c>
      <c r="AB2" s="103" t="str">
        <f ca="1">IFERROR(__xludf.DUMMYFUNCTION("""COMPUTED_VALUE"""),"จำนวน(ราย)")</f>
        <v>จำนวน(ราย)</v>
      </c>
      <c r="AC2" s="103" t="str">
        <f ca="1">IFERROR(__xludf.DUMMYFUNCTION("""COMPUTED_VALUE"""),"จำนวน(คน)")</f>
        <v>จำนวน(คน)</v>
      </c>
      <c r="AD2" s="103" t="str">
        <f ca="1">IFERROR(__xludf.DUMMYFUNCTION("""COMPUTED_VALUE"""),"จำนวน(ราย)")</f>
        <v>จำนวน(ราย)</v>
      </c>
      <c r="AE2" s="103" t="str">
        <f ca="1">IFERROR(__xludf.DUMMYFUNCTION("""COMPUTED_VALUE"""),"จำนวน(คน)")</f>
        <v>จำนวน(คน)</v>
      </c>
      <c r="AF2" s="103" t="str">
        <f ca="1">IFERROR(__xludf.DUMMYFUNCTION("""COMPUTED_VALUE"""),"จำนวน(ราย)")</f>
        <v>จำนวน(ราย)</v>
      </c>
      <c r="AG2" s="103" t="str">
        <f ca="1">IFERROR(__xludf.DUMMYFUNCTION("""COMPUTED_VALUE"""),"จำนวน(คน)")</f>
        <v>จำนวน(คน)</v>
      </c>
      <c r="AH2" s="103" t="str">
        <f ca="1">IFERROR(__xludf.DUMMYFUNCTION("""COMPUTED_VALUE"""),"จำนวน(ราย)")</f>
        <v>จำนวน(ราย)</v>
      </c>
      <c r="AI2" s="103" t="str">
        <f ca="1">IFERROR(__xludf.DUMMYFUNCTION("""COMPUTED_VALUE"""),"จำนวน(คน)")</f>
        <v>จำนวน(คน)</v>
      </c>
      <c r="AJ2" s="103" t="str">
        <f ca="1">IFERROR(__xludf.DUMMYFUNCTION("""COMPUTED_VALUE"""),"จำนวน(ราย)")</f>
        <v>จำนวน(ราย)</v>
      </c>
      <c r="AK2" s="103" t="str">
        <f ca="1">IFERROR(__xludf.DUMMYFUNCTION("""COMPUTED_VALUE"""),"จำนวน(คน)")</f>
        <v>จำนวน(คน)</v>
      </c>
      <c r="AL2" s="103" t="str">
        <f ca="1">IFERROR(__xludf.DUMMYFUNCTION("""COMPUTED_VALUE"""),"จำนวน(ราย)")</f>
        <v>จำนวน(ราย)</v>
      </c>
      <c r="AM2" s="103" t="str">
        <f ca="1">IFERROR(__xludf.DUMMYFUNCTION("""COMPUTED_VALUE"""),"จำนวน(คน)")</f>
        <v>จำนวน(คน)</v>
      </c>
      <c r="AN2" s="103" t="str">
        <f ca="1">IFERROR(__xludf.DUMMYFUNCTION("""COMPUTED_VALUE"""),"จำนวน(ราย)")</f>
        <v>จำนวน(ราย)</v>
      </c>
      <c r="AO2" s="103" t="str">
        <f ca="1">IFERROR(__xludf.DUMMYFUNCTION("""COMPUTED_VALUE"""),"จำนวน(คน)")</f>
        <v>จำนวน(คน)</v>
      </c>
      <c r="AP2" s="103" t="str">
        <f ca="1">IFERROR(__xludf.DUMMYFUNCTION("""COMPUTED_VALUE"""),"จำนวน(ราย)")</f>
        <v>จำนวน(ราย)</v>
      </c>
      <c r="AQ2" s="103" t="str">
        <f ca="1">IFERROR(__xludf.DUMMYFUNCTION("""COMPUTED_VALUE"""),"จำนวน(คน)")</f>
        <v>จำนวน(คน)</v>
      </c>
      <c r="AR2" s="103" t="str">
        <f ca="1">IFERROR(__xludf.DUMMYFUNCTION("""COMPUTED_VALUE"""),"จำนวน(ราย)")</f>
        <v>จำนวน(ราย)</v>
      </c>
      <c r="AS2" s="103" t="str">
        <f ca="1">IFERROR(__xludf.DUMMYFUNCTION("""COMPUTED_VALUE"""),"จำนวน(คน)")</f>
        <v>จำนวน(คน)</v>
      </c>
      <c r="AT2" s="103" t="str">
        <f ca="1">IFERROR(__xludf.DUMMYFUNCTION("""COMPUTED_VALUE"""),"จำนวน(ราย)")</f>
        <v>จำนวน(ราย)</v>
      </c>
      <c r="AU2" s="103" t="str">
        <f ca="1">IFERROR(__xludf.DUMMYFUNCTION("""COMPUTED_VALUE"""),"จำนวน(คน)")</f>
        <v>จำนวน(คน)</v>
      </c>
      <c r="AV2" s="103" t="str">
        <f ca="1">IFERROR(__xludf.DUMMYFUNCTION("""COMPUTED_VALUE"""),"จำนวน(ราย)")</f>
        <v>จำนวน(ราย)</v>
      </c>
      <c r="AW2" s="103" t="str">
        <f ca="1">IFERROR(__xludf.DUMMYFUNCTION("""COMPUTED_VALUE"""),"จำนวน(คน)")</f>
        <v>จำนวน(คน)</v>
      </c>
      <c r="AX2" s="103" t="str">
        <f ca="1">IFERROR(__xludf.DUMMYFUNCTION("""COMPUTED_VALUE"""),"จำนวน(ราย)")</f>
        <v>จำนวน(ราย)</v>
      </c>
      <c r="AY2" s="103" t="str">
        <f ca="1">IFERROR(__xludf.DUMMYFUNCTION("""COMPUTED_VALUE"""),"จำนวน(คน)")</f>
        <v>จำนวน(คน)</v>
      </c>
      <c r="AZ2" s="103" t="str">
        <f ca="1">IFERROR(__xludf.DUMMYFUNCTION("""COMPUTED_VALUE"""),"จำนวน(ราย)")</f>
        <v>จำนวน(ราย)</v>
      </c>
      <c r="BA2" s="103" t="str">
        <f ca="1">IFERROR(__xludf.DUMMYFUNCTION("""COMPUTED_VALUE"""),"จำนวน(คน)")</f>
        <v>จำนวน(คน)</v>
      </c>
      <c r="BB2" s="103" t="str">
        <f ca="1">IFERROR(__xludf.DUMMYFUNCTION("""COMPUTED_VALUE"""),"จำนวน(ราย)")</f>
        <v>จำนวน(ราย)</v>
      </c>
      <c r="BC2" s="103" t="str">
        <f ca="1">IFERROR(__xludf.DUMMYFUNCTION("""COMPUTED_VALUE"""),"จำนวน(คน)")</f>
        <v>จำนวน(คน)</v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  <c r="BI2" s="103" t="str">
        <f ca="1">IFERROR(__xludf.DUMMYFUNCTION("""COMPUTED_VALUE"""),"")</f>
        <v/>
      </c>
    </row>
    <row r="3" spans="1:68" ht="15">
      <c r="A3" s="104" t="s">
        <v>5</v>
      </c>
      <c r="B3" s="133"/>
      <c r="C3" s="105" t="s">
        <v>73</v>
      </c>
      <c r="D3" s="106" t="s">
        <v>73</v>
      </c>
      <c r="E3" s="107">
        <f ca="1">IFERROR(__xludf.DUMMYFUNCTION("""COMPUTED_VALUE"""),44463.3664299074)</f>
        <v>44463.366429907401</v>
      </c>
      <c r="F3" s="103" t="str">
        <f ca="1">IFERROR(__xludf.DUMMYFUNCTION("""COMPUTED_VALUE"""),"central@rtp.com")</f>
        <v>central@rtp.com</v>
      </c>
      <c r="G3" s="108" t="str">
        <f ca="1">IFERROR(__xludf.DUMMYFUNCTION("""COMPUTED_VALUE"""),"rtp2021")</f>
        <v>rtp2021</v>
      </c>
      <c r="H3" s="103"/>
      <c r="I3" s="108" t="str">
        <f ca="1">IFERROR(__xludf.DUMMYFUNCTION("""COMPUTED_VALUE"""),"บช.ก.")</f>
        <v>บช.ก.</v>
      </c>
      <c r="J3" s="108">
        <f ca="1">IFERROR(__xludf.DUMMYFUNCTION("""COMPUTED_VALUE"""),0)</f>
        <v>0</v>
      </c>
      <c r="K3" s="108">
        <f ca="1">IFERROR(__xludf.DUMMYFUNCTION("""COMPUTED_VALUE"""),0)</f>
        <v>0</v>
      </c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>
        <f ca="1">IFERROR(__xludf.DUMMYFUNCTION("""COMPUTED_VALUE"""),4)</f>
        <v>4</v>
      </c>
      <c r="AE3" s="108">
        <f ca="1">IFERROR(__xludf.DUMMYFUNCTION("""COMPUTED_VALUE"""),4)</f>
        <v>4</v>
      </c>
      <c r="AF3" s="108">
        <f ca="1">IFERROR(__xludf.DUMMYFUNCTION("""COMPUTED_VALUE"""),1)</f>
        <v>1</v>
      </c>
      <c r="AG3" s="108">
        <f ca="1">IFERROR(__xludf.DUMMYFUNCTION("""COMPUTED_VALUE"""),1)</f>
        <v>1</v>
      </c>
      <c r="AH3" s="108">
        <f ca="1">IFERROR(__xludf.DUMMYFUNCTION("""COMPUTED_VALUE"""),1)</f>
        <v>1</v>
      </c>
      <c r="AI3" s="108">
        <f ca="1">IFERROR(__xludf.DUMMYFUNCTION("""COMPUTED_VALUE"""),1)</f>
        <v>1</v>
      </c>
      <c r="AJ3" s="108"/>
      <c r="AK3" s="108"/>
      <c r="AL3" s="108">
        <f ca="1">IFERROR(__xludf.DUMMYFUNCTION("""COMPUTED_VALUE"""),1)</f>
        <v>1</v>
      </c>
      <c r="AM3" s="108">
        <f ca="1">IFERROR(__xludf.DUMMYFUNCTION("""COMPUTED_VALUE"""),1)</f>
        <v>1</v>
      </c>
      <c r="AN3" s="108">
        <f ca="1">IFERROR(__xludf.DUMMYFUNCTION("""COMPUTED_VALUE"""),2)</f>
        <v>2</v>
      </c>
      <c r="AO3" s="108">
        <f ca="1">IFERROR(__xludf.DUMMYFUNCTION("""COMPUTED_VALUE"""),3)</f>
        <v>3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>
        <f ca="1">IFERROR(__xludf.DUMMYFUNCTION("""COMPUTED_VALUE"""),61)</f>
        <v>61</v>
      </c>
      <c r="BC3" s="108">
        <f ca="1">IFERROR(__xludf.DUMMYFUNCTION("""COMPUTED_VALUE"""),50)</f>
        <v>50</v>
      </c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</row>
    <row r="4" spans="1:68" ht="12.75">
      <c r="A4" s="637" t="s">
        <v>19</v>
      </c>
      <c r="B4" s="7"/>
      <c r="C4" s="632" t="s">
        <v>74</v>
      </c>
      <c r="D4" s="628"/>
      <c r="E4" s="107">
        <f ca="1">IFERROR(__xludf.DUMMYFUNCTION("""COMPUTED_VALUE"""),44464.3147246296)</f>
        <v>44464.314724629599</v>
      </c>
      <c r="F4" s="103" t="str">
        <f ca="1">IFERROR(__xludf.DUMMYFUNCTION("""COMPUTED_VALUE"""),"central@rtp.com")</f>
        <v>central@rtp.com</v>
      </c>
      <c r="G4" s="103" t="str">
        <f ca="1">IFERROR(__xludf.DUMMYFUNCTION("""COMPUTED_VALUE"""),"rtp2021")</f>
        <v>rtp2021</v>
      </c>
      <c r="H4" s="103"/>
      <c r="I4" s="103" t="str">
        <f ca="1">IFERROR(__xludf.DUMMYFUNCTION("""COMPUTED_VALUE"""),"บช.ก.")</f>
        <v>บช.ก.</v>
      </c>
      <c r="J4" s="103"/>
      <c r="K4" s="103"/>
      <c r="L4" s="103"/>
      <c r="M4" s="103"/>
      <c r="N4" s="103"/>
      <c r="O4" s="103"/>
      <c r="P4" s="103"/>
      <c r="Q4" s="103"/>
      <c r="R4" s="103">
        <f ca="1">IFERROR(__xludf.DUMMYFUNCTION("""COMPUTED_VALUE"""),1)</f>
        <v>1</v>
      </c>
      <c r="S4" s="103">
        <f ca="1">IFERROR(__xludf.DUMMYFUNCTION("""COMPUTED_VALUE"""),1)</f>
        <v>1</v>
      </c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>
        <f ca="1">IFERROR(__xludf.DUMMYFUNCTION("""COMPUTED_VALUE"""),11)</f>
        <v>11</v>
      </c>
      <c r="AE4" s="103">
        <f ca="1">IFERROR(__xludf.DUMMYFUNCTION("""COMPUTED_VALUE"""),12)</f>
        <v>12</v>
      </c>
      <c r="AF4" s="103">
        <f ca="1">IFERROR(__xludf.DUMMYFUNCTION("""COMPUTED_VALUE"""),5)</f>
        <v>5</v>
      </c>
      <c r="AG4" s="103">
        <f ca="1">IFERROR(__xludf.DUMMYFUNCTION("""COMPUTED_VALUE"""),5)</f>
        <v>5</v>
      </c>
      <c r="AH4" s="103">
        <f ca="1">IFERROR(__xludf.DUMMYFUNCTION("""COMPUTED_VALUE"""),4)</f>
        <v>4</v>
      </c>
      <c r="AI4" s="103">
        <f ca="1">IFERROR(__xludf.DUMMYFUNCTION("""COMPUTED_VALUE"""),12)</f>
        <v>12</v>
      </c>
      <c r="AJ4" s="103"/>
      <c r="AK4" s="103"/>
      <c r="AL4" s="103"/>
      <c r="AM4" s="103"/>
      <c r="AN4" s="103"/>
      <c r="AO4" s="103"/>
      <c r="AP4" s="103"/>
      <c r="AQ4" s="103"/>
      <c r="AR4" s="103">
        <f ca="1">IFERROR(__xludf.DUMMYFUNCTION("""COMPUTED_VALUE"""),2)</f>
        <v>2</v>
      </c>
      <c r="AS4" s="103">
        <f ca="1">IFERROR(__xludf.DUMMYFUNCTION("""COMPUTED_VALUE"""),2)</f>
        <v>2</v>
      </c>
      <c r="AT4" s="103"/>
      <c r="AU4" s="103"/>
      <c r="AV4" s="103"/>
      <c r="AW4" s="103"/>
      <c r="AX4" s="103"/>
      <c r="AY4" s="103"/>
      <c r="AZ4" s="103"/>
      <c r="BA4" s="103"/>
      <c r="BB4" s="103">
        <f ca="1">IFERROR(__xludf.DUMMYFUNCTION("""COMPUTED_VALUE"""),83)</f>
        <v>83</v>
      </c>
      <c r="BC4" s="103">
        <f ca="1">IFERROR(__xludf.DUMMYFUNCTION("""COMPUTED_VALUE"""),67)</f>
        <v>67</v>
      </c>
      <c r="BD4" s="103"/>
      <c r="BE4" s="103"/>
      <c r="BF4" s="103"/>
      <c r="BG4" s="103"/>
      <c r="BH4" s="103"/>
      <c r="BI4" s="103"/>
    </row>
    <row r="5" spans="1:68" ht="12.75">
      <c r="A5" s="638"/>
      <c r="B5" s="7" t="s">
        <v>53</v>
      </c>
      <c r="C5" s="109" t="s">
        <v>21</v>
      </c>
      <c r="D5" s="110" t="s">
        <v>22</v>
      </c>
      <c r="E5" s="107">
        <f ca="1">IFERROR(__xludf.DUMMYFUNCTION("""COMPUTED_VALUE"""),44465.3171791782)</f>
        <v>44465.317179178201</v>
      </c>
      <c r="F5" s="103" t="str">
        <f ca="1">IFERROR(__xludf.DUMMYFUNCTION("""COMPUTED_VALUE"""),"central@rtp.com")</f>
        <v>central@rtp.com</v>
      </c>
      <c r="G5" s="103" t="str">
        <f ca="1">IFERROR(__xludf.DUMMYFUNCTION("""COMPUTED_VALUE"""),"rtp2021")</f>
        <v>rtp2021</v>
      </c>
      <c r="H5" s="103"/>
      <c r="I5" s="103" t="str">
        <f ca="1">IFERROR(__xludf.DUMMYFUNCTION("""COMPUTED_VALUE"""),"บช.ก.")</f>
        <v>บช.ก.</v>
      </c>
      <c r="J5" s="103"/>
      <c r="K5" s="103"/>
      <c r="L5" s="103"/>
      <c r="M5" s="103"/>
      <c r="N5" s="103">
        <f ca="1">IFERROR(__xludf.DUMMYFUNCTION("""COMPUTED_VALUE"""),3)</f>
        <v>3</v>
      </c>
      <c r="O5" s="103">
        <f ca="1">IFERROR(__xludf.DUMMYFUNCTION("""COMPUTED_VALUE"""),6)</f>
        <v>6</v>
      </c>
      <c r="P5" s="103"/>
      <c r="Q5" s="103"/>
      <c r="R5" s="103">
        <f ca="1">IFERROR(__xludf.DUMMYFUNCTION("""COMPUTED_VALUE"""),1)</f>
        <v>1</v>
      </c>
      <c r="S5" s="103">
        <f ca="1">IFERROR(__xludf.DUMMYFUNCTION("""COMPUTED_VALUE"""),1)</f>
        <v>1</v>
      </c>
      <c r="T5" s="103">
        <f ca="1">IFERROR(__xludf.DUMMYFUNCTION("""COMPUTED_VALUE"""),3)</f>
        <v>3</v>
      </c>
      <c r="U5" s="103">
        <f ca="1">IFERROR(__xludf.DUMMYFUNCTION("""COMPUTED_VALUE"""),9)</f>
        <v>9</v>
      </c>
      <c r="V5" s="103">
        <f ca="1">IFERROR(__xludf.DUMMYFUNCTION("""COMPUTED_VALUE"""),1)</f>
        <v>1</v>
      </c>
      <c r="W5" s="103">
        <f ca="1">IFERROR(__xludf.DUMMYFUNCTION("""COMPUTED_VALUE"""),1)</f>
        <v>1</v>
      </c>
      <c r="X5" s="103"/>
      <c r="Y5" s="103"/>
      <c r="Z5" s="103"/>
      <c r="AA5" s="103"/>
      <c r="AB5" s="103"/>
      <c r="AC5" s="103"/>
      <c r="AD5" s="103">
        <f ca="1">IFERROR(__xludf.DUMMYFUNCTION("""COMPUTED_VALUE"""),13)</f>
        <v>13</v>
      </c>
      <c r="AE5" s="103">
        <f ca="1">IFERROR(__xludf.DUMMYFUNCTION("""COMPUTED_VALUE"""),68)</f>
        <v>68</v>
      </c>
      <c r="AF5" s="103">
        <f ca="1">IFERROR(__xludf.DUMMYFUNCTION("""COMPUTED_VALUE"""),7)</f>
        <v>7</v>
      </c>
      <c r="AG5" s="103">
        <f ca="1">IFERROR(__xludf.DUMMYFUNCTION("""COMPUTED_VALUE"""),7)</f>
        <v>7</v>
      </c>
      <c r="AH5" s="103">
        <f ca="1">IFERROR(__xludf.DUMMYFUNCTION("""COMPUTED_VALUE"""),9)</f>
        <v>9</v>
      </c>
      <c r="AI5" s="103">
        <f ca="1">IFERROR(__xludf.DUMMYFUNCTION("""COMPUTED_VALUE"""),9)</f>
        <v>9</v>
      </c>
      <c r="AJ5" s="103"/>
      <c r="AK5" s="103"/>
      <c r="AL5" s="103"/>
      <c r="AM5" s="103"/>
      <c r="AN5" s="103">
        <f ca="1">IFERROR(__xludf.DUMMYFUNCTION("""COMPUTED_VALUE"""),2)</f>
        <v>2</v>
      </c>
      <c r="AO5" s="103">
        <f ca="1">IFERROR(__xludf.DUMMYFUNCTION("""COMPUTED_VALUE"""),2)</f>
        <v>2</v>
      </c>
      <c r="AP5" s="103"/>
      <c r="AQ5" s="103"/>
      <c r="AR5" s="103">
        <f ca="1">IFERROR(__xludf.DUMMYFUNCTION("""COMPUTED_VALUE"""),2)</f>
        <v>2</v>
      </c>
      <c r="AS5" s="103">
        <f ca="1">IFERROR(__xludf.DUMMYFUNCTION("""COMPUTED_VALUE"""),2)</f>
        <v>2</v>
      </c>
      <c r="AT5" s="103"/>
      <c r="AU5" s="103"/>
      <c r="AV5" s="103"/>
      <c r="AW5" s="103"/>
      <c r="AX5" s="103"/>
      <c r="AY5" s="103"/>
      <c r="AZ5" s="103">
        <f ca="1">IFERROR(__xludf.DUMMYFUNCTION("""COMPUTED_VALUE"""),1)</f>
        <v>1</v>
      </c>
      <c r="BA5" s="103">
        <f ca="1">IFERROR(__xludf.DUMMYFUNCTION("""COMPUTED_VALUE"""),4)</f>
        <v>4</v>
      </c>
      <c r="BB5" s="103">
        <f ca="1">IFERROR(__xludf.DUMMYFUNCTION("""COMPUTED_VALUE"""),103)</f>
        <v>103</v>
      </c>
      <c r="BC5" s="103">
        <f ca="1">IFERROR(__xludf.DUMMYFUNCTION("""COMPUTED_VALUE"""),98)</f>
        <v>98</v>
      </c>
      <c r="BD5" s="103"/>
      <c r="BE5" s="103"/>
      <c r="BF5" s="103"/>
      <c r="BG5" s="103"/>
      <c r="BH5" s="103"/>
      <c r="BI5" s="103"/>
    </row>
    <row r="6" spans="1:68" ht="12.75">
      <c r="A6" s="111" t="s">
        <v>23</v>
      </c>
      <c r="B6" s="134"/>
      <c r="C6" s="112"/>
      <c r="D6" s="113"/>
      <c r="E6" s="107">
        <f ca="1">IFERROR(__xludf.DUMMYFUNCTION("""COMPUTED_VALUE"""),44466.3006952893)</f>
        <v>44466.300695289297</v>
      </c>
      <c r="F6" s="103" t="str">
        <f ca="1">IFERROR(__xludf.DUMMYFUNCTION("""COMPUTED_VALUE"""),"central@rtp.com")</f>
        <v>central@rtp.com</v>
      </c>
      <c r="G6" s="103" t="str">
        <f ca="1">IFERROR(__xludf.DUMMYFUNCTION("""COMPUTED_VALUE"""),"rtp2021")</f>
        <v>rtp2021</v>
      </c>
      <c r="H6" s="103"/>
      <c r="I6" s="103" t="str">
        <f ca="1">IFERROR(__xludf.DUMMYFUNCTION("""COMPUTED_VALUE"""),"บช.ก.")</f>
        <v>บช.ก.</v>
      </c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>
        <f ca="1">IFERROR(__xludf.DUMMYFUNCTION("""COMPUTED_VALUE"""),10)</f>
        <v>10</v>
      </c>
      <c r="U6" s="103">
        <f ca="1">IFERROR(__xludf.DUMMYFUNCTION("""COMPUTED_VALUE"""),15)</f>
        <v>15</v>
      </c>
      <c r="V6" s="103"/>
      <c r="W6" s="103"/>
      <c r="X6" s="103"/>
      <c r="Y6" s="103"/>
      <c r="Z6" s="103"/>
      <c r="AA6" s="103"/>
      <c r="AB6" s="103"/>
      <c r="AC6" s="103"/>
      <c r="AD6" s="103">
        <f ca="1">IFERROR(__xludf.DUMMYFUNCTION("""COMPUTED_VALUE"""),7)</f>
        <v>7</v>
      </c>
      <c r="AE6" s="103">
        <f ca="1">IFERROR(__xludf.DUMMYFUNCTION("""COMPUTED_VALUE"""),11)</f>
        <v>11</v>
      </c>
      <c r="AF6" s="103">
        <f ca="1">IFERROR(__xludf.DUMMYFUNCTION("""COMPUTED_VALUE"""),2)</f>
        <v>2</v>
      </c>
      <c r="AG6" s="103">
        <f ca="1">IFERROR(__xludf.DUMMYFUNCTION("""COMPUTED_VALUE"""),2)</f>
        <v>2</v>
      </c>
      <c r="AH6" s="103">
        <f ca="1">IFERROR(__xludf.DUMMYFUNCTION("""COMPUTED_VALUE"""),1)</f>
        <v>1</v>
      </c>
      <c r="AI6" s="103">
        <f ca="1">IFERROR(__xludf.DUMMYFUNCTION("""COMPUTED_VALUE"""),1)</f>
        <v>1</v>
      </c>
      <c r="AJ6" s="103">
        <f ca="1">IFERROR(__xludf.DUMMYFUNCTION("""COMPUTED_VALUE"""),2)</f>
        <v>2</v>
      </c>
      <c r="AK6" s="103">
        <f ca="1">IFERROR(__xludf.DUMMYFUNCTION("""COMPUTED_VALUE"""),3)</f>
        <v>3</v>
      </c>
      <c r="AL6" s="103">
        <f ca="1">IFERROR(__xludf.DUMMYFUNCTION("""COMPUTED_VALUE"""),3)</f>
        <v>3</v>
      </c>
      <c r="AM6" s="103">
        <f ca="1">IFERROR(__xludf.DUMMYFUNCTION("""COMPUTED_VALUE"""),5)</f>
        <v>5</v>
      </c>
      <c r="AN6" s="103">
        <f ca="1">IFERROR(__xludf.DUMMYFUNCTION("""COMPUTED_VALUE"""),10)</f>
        <v>10</v>
      </c>
      <c r="AO6" s="103">
        <f ca="1">IFERROR(__xludf.DUMMYFUNCTION("""COMPUTED_VALUE"""),53)</f>
        <v>53</v>
      </c>
      <c r="AP6" s="103"/>
      <c r="AQ6" s="103"/>
      <c r="AR6" s="103">
        <f ca="1">IFERROR(__xludf.DUMMYFUNCTION("""COMPUTED_VALUE"""),2)</f>
        <v>2</v>
      </c>
      <c r="AS6" s="103">
        <f ca="1">IFERROR(__xludf.DUMMYFUNCTION("""COMPUTED_VALUE"""),2)</f>
        <v>2</v>
      </c>
      <c r="AT6" s="103"/>
      <c r="AU6" s="103"/>
      <c r="AV6" s="103"/>
      <c r="AW6" s="103"/>
      <c r="AX6" s="103"/>
      <c r="AY6" s="103"/>
      <c r="AZ6" s="103"/>
      <c r="BA6" s="103"/>
      <c r="BB6" s="103">
        <f ca="1">IFERROR(__xludf.DUMMYFUNCTION("""COMPUTED_VALUE"""),93)</f>
        <v>93</v>
      </c>
      <c r="BC6" s="103">
        <f ca="1">IFERROR(__xludf.DUMMYFUNCTION("""COMPUTED_VALUE"""),97)</f>
        <v>97</v>
      </c>
      <c r="BD6" s="103"/>
      <c r="BE6" s="103"/>
      <c r="BF6" s="103"/>
      <c r="BG6" s="103"/>
      <c r="BH6" s="103"/>
      <c r="BI6" s="103"/>
    </row>
    <row r="7" spans="1:68" ht="12.75">
      <c r="A7" s="114" t="s">
        <v>24</v>
      </c>
      <c r="B7" s="135">
        <f ca="1">C7*3</f>
        <v>0</v>
      </c>
      <c r="C7" s="115">
        <f t="shared" ref="C7:D7" ca="1" si="0">SUM(J:J)</f>
        <v>0</v>
      </c>
      <c r="D7" s="116">
        <f t="shared" ca="1" si="0"/>
        <v>0</v>
      </c>
      <c r="E7" s="107">
        <f ca="1">IFERROR(__xludf.DUMMYFUNCTION("""COMPUTED_VALUE"""),44467.2733110995)</f>
        <v>44467.273311099503</v>
      </c>
      <c r="F7" s="103" t="str">
        <f ca="1">IFERROR(__xludf.DUMMYFUNCTION("""COMPUTED_VALUE"""),"central@rtp.com")</f>
        <v>central@rtp.com</v>
      </c>
      <c r="G7" s="103" t="str">
        <f ca="1">IFERROR(__xludf.DUMMYFUNCTION("""COMPUTED_VALUE"""),"rtp2021")</f>
        <v>rtp2021</v>
      </c>
      <c r="H7" s="103"/>
      <c r="I7" s="103" t="str">
        <f ca="1">IFERROR(__xludf.DUMMYFUNCTION("""COMPUTED_VALUE"""),"บช.ก.")</f>
        <v>บช.ก.</v>
      </c>
      <c r="J7" s="103"/>
      <c r="K7" s="103"/>
      <c r="L7" s="103"/>
      <c r="M7" s="103"/>
      <c r="N7" s="103"/>
      <c r="O7" s="103"/>
      <c r="P7" s="103"/>
      <c r="Q7" s="103"/>
      <c r="R7" s="103">
        <f ca="1">IFERROR(__xludf.DUMMYFUNCTION("""COMPUTED_VALUE"""),2)</f>
        <v>2</v>
      </c>
      <c r="S7" s="103">
        <f ca="1">IFERROR(__xludf.DUMMYFUNCTION("""COMPUTED_VALUE"""),2)</f>
        <v>2</v>
      </c>
      <c r="T7" s="103">
        <f ca="1">IFERROR(__xludf.DUMMYFUNCTION("""COMPUTED_VALUE"""),1)</f>
        <v>1</v>
      </c>
      <c r="U7" s="103">
        <f ca="1">IFERROR(__xludf.DUMMYFUNCTION("""COMPUTED_VALUE"""),1)</f>
        <v>1</v>
      </c>
      <c r="V7" s="103">
        <f ca="1">IFERROR(__xludf.DUMMYFUNCTION("""COMPUTED_VALUE"""),1)</f>
        <v>1</v>
      </c>
      <c r="W7" s="103">
        <f ca="1">IFERROR(__xludf.DUMMYFUNCTION("""COMPUTED_VALUE"""),1)</f>
        <v>1</v>
      </c>
      <c r="X7" s="103"/>
      <c r="Y7" s="103"/>
      <c r="Z7" s="103"/>
      <c r="AA7" s="103"/>
      <c r="AB7" s="103">
        <f ca="1">IFERROR(__xludf.DUMMYFUNCTION("""COMPUTED_VALUE"""),1)</f>
        <v>1</v>
      </c>
      <c r="AC7" s="103">
        <f ca="1">IFERROR(__xludf.DUMMYFUNCTION("""COMPUTED_VALUE"""),1)</f>
        <v>1</v>
      </c>
      <c r="AD7" s="103">
        <f ca="1">IFERROR(__xludf.DUMMYFUNCTION("""COMPUTED_VALUE"""),9)</f>
        <v>9</v>
      </c>
      <c r="AE7" s="103">
        <f ca="1">IFERROR(__xludf.DUMMYFUNCTION("""COMPUTED_VALUE"""),11)</f>
        <v>11</v>
      </c>
      <c r="AF7" s="103">
        <f ca="1">IFERROR(__xludf.DUMMYFUNCTION("""COMPUTED_VALUE"""),7)</f>
        <v>7</v>
      </c>
      <c r="AG7" s="103">
        <f ca="1">IFERROR(__xludf.DUMMYFUNCTION("""COMPUTED_VALUE"""),8)</f>
        <v>8</v>
      </c>
      <c r="AH7" s="103">
        <f ca="1">IFERROR(__xludf.DUMMYFUNCTION("""COMPUTED_VALUE"""),5)</f>
        <v>5</v>
      </c>
      <c r="AI7" s="103">
        <f ca="1">IFERROR(__xludf.DUMMYFUNCTION("""COMPUTED_VALUE"""),5)</f>
        <v>5</v>
      </c>
      <c r="AJ7" s="103"/>
      <c r="AK7" s="103"/>
      <c r="AL7" s="103">
        <f ca="1">IFERROR(__xludf.DUMMYFUNCTION("""COMPUTED_VALUE"""),3)</f>
        <v>3</v>
      </c>
      <c r="AM7" s="103">
        <f ca="1">IFERROR(__xludf.DUMMYFUNCTION("""COMPUTED_VALUE"""),3)</f>
        <v>3</v>
      </c>
      <c r="AN7" s="103">
        <f ca="1">IFERROR(__xludf.DUMMYFUNCTION("""COMPUTED_VALUE"""),9)</f>
        <v>9</v>
      </c>
      <c r="AO7" s="103">
        <f ca="1">IFERROR(__xludf.DUMMYFUNCTION("""COMPUTED_VALUE"""),17)</f>
        <v>17</v>
      </c>
      <c r="AP7" s="103"/>
      <c r="AQ7" s="103"/>
      <c r="AR7" s="103">
        <f ca="1">IFERROR(__xludf.DUMMYFUNCTION("""COMPUTED_VALUE"""),9)</f>
        <v>9</v>
      </c>
      <c r="AS7" s="103">
        <f ca="1">IFERROR(__xludf.DUMMYFUNCTION("""COMPUTED_VALUE"""),8)</f>
        <v>8</v>
      </c>
      <c r="AT7" s="103">
        <f ca="1">IFERROR(__xludf.DUMMYFUNCTION("""COMPUTED_VALUE"""),1)</f>
        <v>1</v>
      </c>
      <c r="AU7" s="103">
        <f ca="1">IFERROR(__xludf.DUMMYFUNCTION("""COMPUTED_VALUE"""),1)</f>
        <v>1</v>
      </c>
      <c r="AV7" s="103"/>
      <c r="AW7" s="103"/>
      <c r="AX7" s="103"/>
      <c r="AY7" s="103"/>
      <c r="AZ7" s="103"/>
      <c r="BA7" s="103"/>
      <c r="BB7" s="103">
        <f ca="1">IFERROR(__xludf.DUMMYFUNCTION("""COMPUTED_VALUE"""),167)</f>
        <v>167</v>
      </c>
      <c r="BC7" s="103">
        <f ca="1">IFERROR(__xludf.DUMMYFUNCTION("""COMPUTED_VALUE"""),157)</f>
        <v>157</v>
      </c>
      <c r="BD7" s="103"/>
      <c r="BE7" s="103"/>
      <c r="BF7" s="103"/>
      <c r="BG7" s="103"/>
      <c r="BH7" s="103"/>
      <c r="BI7" s="103"/>
    </row>
    <row r="8" spans="1:68" ht="12.75">
      <c r="A8" s="114" t="s">
        <v>25</v>
      </c>
      <c r="B8" s="135"/>
      <c r="C8" s="115"/>
      <c r="D8" s="116"/>
      <c r="E8" s="107">
        <f ca="1">IFERROR(__xludf.DUMMYFUNCTION("""COMPUTED_VALUE"""),44468.3068003125)</f>
        <v>44468.306800312501</v>
      </c>
      <c r="F8" s="103" t="str">
        <f ca="1">IFERROR(__xludf.DUMMYFUNCTION("""COMPUTED_VALUE"""),"central@rtp.com")</f>
        <v>central@rtp.com</v>
      </c>
      <c r="G8" s="103" t="str">
        <f ca="1">IFERROR(__xludf.DUMMYFUNCTION("""COMPUTED_VALUE"""),"rtp2021")</f>
        <v>rtp2021</v>
      </c>
      <c r="H8" s="103"/>
      <c r="I8" s="103" t="str">
        <f ca="1">IFERROR(__xludf.DUMMYFUNCTION("""COMPUTED_VALUE"""),"บช.ก.")</f>
        <v>บช.ก.</v>
      </c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>
        <f ca="1">IFERROR(__xludf.DUMMYFUNCTION("""COMPUTED_VALUE"""),2)</f>
        <v>2</v>
      </c>
      <c r="U8" s="103">
        <f ca="1">IFERROR(__xludf.DUMMYFUNCTION("""COMPUTED_VALUE"""),15)</f>
        <v>15</v>
      </c>
      <c r="V8" s="103">
        <f ca="1">IFERROR(__xludf.DUMMYFUNCTION("""COMPUTED_VALUE"""),2)</f>
        <v>2</v>
      </c>
      <c r="W8" s="103">
        <f ca="1">IFERROR(__xludf.DUMMYFUNCTION("""COMPUTED_VALUE"""),3)</f>
        <v>3</v>
      </c>
      <c r="X8" s="103"/>
      <c r="Y8" s="103"/>
      <c r="Z8" s="103"/>
      <c r="AA8" s="103"/>
      <c r="AB8" s="103">
        <f ca="1">IFERROR(__xludf.DUMMYFUNCTION("""COMPUTED_VALUE"""),1)</f>
        <v>1</v>
      </c>
      <c r="AC8" s="103">
        <f ca="1">IFERROR(__xludf.DUMMYFUNCTION("""COMPUTED_VALUE"""),1)</f>
        <v>1</v>
      </c>
      <c r="AD8" s="103">
        <f ca="1">IFERROR(__xludf.DUMMYFUNCTION("""COMPUTED_VALUE"""),18)</f>
        <v>18</v>
      </c>
      <c r="AE8" s="103">
        <f ca="1">IFERROR(__xludf.DUMMYFUNCTION("""COMPUTED_VALUE"""),20)</f>
        <v>20</v>
      </c>
      <c r="AF8" s="103">
        <f ca="1">IFERROR(__xludf.DUMMYFUNCTION("""COMPUTED_VALUE"""),16)</f>
        <v>16</v>
      </c>
      <c r="AG8" s="103">
        <f ca="1">IFERROR(__xludf.DUMMYFUNCTION("""COMPUTED_VALUE"""),17)</f>
        <v>17</v>
      </c>
      <c r="AH8" s="103">
        <f ca="1">IFERROR(__xludf.DUMMYFUNCTION("""COMPUTED_VALUE"""),13)</f>
        <v>13</v>
      </c>
      <c r="AI8" s="103">
        <f ca="1">IFERROR(__xludf.DUMMYFUNCTION("""COMPUTED_VALUE"""),13)</f>
        <v>13</v>
      </c>
      <c r="AJ8" s="103"/>
      <c r="AK8" s="103"/>
      <c r="AL8" s="103"/>
      <c r="AM8" s="103"/>
      <c r="AN8" s="103">
        <f ca="1">IFERROR(__xludf.DUMMYFUNCTION("""COMPUTED_VALUE"""),6)</f>
        <v>6</v>
      </c>
      <c r="AO8" s="103">
        <f ca="1">IFERROR(__xludf.DUMMYFUNCTION("""COMPUTED_VALUE"""),6)</f>
        <v>6</v>
      </c>
      <c r="AP8" s="103"/>
      <c r="AQ8" s="103"/>
      <c r="AR8" s="103">
        <f ca="1">IFERROR(__xludf.DUMMYFUNCTION("""COMPUTED_VALUE"""),7)</f>
        <v>7</v>
      </c>
      <c r="AS8" s="103">
        <f ca="1">IFERROR(__xludf.DUMMYFUNCTION("""COMPUTED_VALUE"""),7)</f>
        <v>7</v>
      </c>
      <c r="AT8" s="103"/>
      <c r="AU8" s="103"/>
      <c r="AV8" s="103"/>
      <c r="AW8" s="103"/>
      <c r="AX8" s="103">
        <f ca="1">IFERROR(__xludf.DUMMYFUNCTION("""COMPUTED_VALUE"""),2)</f>
        <v>2</v>
      </c>
      <c r="AY8" s="103">
        <f ca="1">IFERROR(__xludf.DUMMYFUNCTION("""COMPUTED_VALUE"""),2)</f>
        <v>2</v>
      </c>
      <c r="AZ8" s="103"/>
      <c r="BA8" s="103"/>
      <c r="BB8" s="103">
        <f ca="1">IFERROR(__xludf.DUMMYFUNCTION("""COMPUTED_VALUE"""),161)</f>
        <v>161</v>
      </c>
      <c r="BC8" s="103">
        <f ca="1">IFERROR(__xludf.DUMMYFUNCTION("""COMPUTED_VALUE"""),155)</f>
        <v>155</v>
      </c>
      <c r="BD8" s="103"/>
      <c r="BE8" s="103"/>
      <c r="BF8" s="103"/>
      <c r="BG8" s="103"/>
      <c r="BH8" s="103"/>
      <c r="BI8" s="103"/>
    </row>
    <row r="9" spans="1:68" ht="12.75">
      <c r="A9" s="114" t="s">
        <v>26</v>
      </c>
      <c r="B9" s="135">
        <f ca="1">C9*2</f>
        <v>0</v>
      </c>
      <c r="C9" s="115">
        <f t="shared" ref="C9:D9" ca="1" si="1">SUM(L:L)</f>
        <v>0</v>
      </c>
      <c r="D9" s="116">
        <f t="shared" ca="1" si="1"/>
        <v>0</v>
      </c>
      <c r="E9" s="107">
        <f ca="1">IFERROR(__xludf.DUMMYFUNCTION("""COMPUTED_VALUE"""),44469.3121796759)</f>
        <v>44469.312179675901</v>
      </c>
      <c r="F9" s="103" t="str">
        <f ca="1">IFERROR(__xludf.DUMMYFUNCTION("""COMPUTED_VALUE"""),"central@rtp.com")</f>
        <v>central@rtp.com</v>
      </c>
      <c r="G9" s="103" t="str">
        <f ca="1">IFERROR(__xludf.DUMMYFUNCTION("""COMPUTED_VALUE"""),"rtp2021")</f>
        <v>rtp2021</v>
      </c>
      <c r="H9" s="103"/>
      <c r="I9" s="103" t="str">
        <f ca="1">IFERROR(__xludf.DUMMYFUNCTION("""COMPUTED_VALUE"""),"บช.ก.")</f>
        <v>บช.ก.</v>
      </c>
      <c r="J9" s="103"/>
      <c r="K9" s="103"/>
      <c r="L9" s="103"/>
      <c r="M9" s="103"/>
      <c r="N9" s="103"/>
      <c r="O9" s="103"/>
      <c r="P9" s="103"/>
      <c r="Q9" s="103"/>
      <c r="R9" s="103">
        <f ca="1">IFERROR(__xludf.DUMMYFUNCTION("""COMPUTED_VALUE"""),1)</f>
        <v>1</v>
      </c>
      <c r="S9" s="103">
        <f ca="1">IFERROR(__xludf.DUMMYFUNCTION("""COMPUTED_VALUE"""),1)</f>
        <v>1</v>
      </c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>
        <f ca="1">IFERROR(__xludf.DUMMYFUNCTION("""COMPUTED_VALUE"""),12)</f>
        <v>12</v>
      </c>
      <c r="AE9" s="103">
        <f ca="1">IFERROR(__xludf.DUMMYFUNCTION("""COMPUTED_VALUE"""),21)</f>
        <v>21</v>
      </c>
      <c r="AF9" s="103">
        <f ca="1">IFERROR(__xludf.DUMMYFUNCTION("""COMPUTED_VALUE"""),7)</f>
        <v>7</v>
      </c>
      <c r="AG9" s="103">
        <f ca="1">IFERROR(__xludf.DUMMYFUNCTION("""COMPUTED_VALUE"""),8)</f>
        <v>8</v>
      </c>
      <c r="AH9" s="103">
        <f ca="1">IFERROR(__xludf.DUMMYFUNCTION("""COMPUTED_VALUE"""),1)</f>
        <v>1</v>
      </c>
      <c r="AI9" s="103">
        <f ca="1">IFERROR(__xludf.DUMMYFUNCTION("""COMPUTED_VALUE"""),1)</f>
        <v>1</v>
      </c>
      <c r="AJ9" s="103"/>
      <c r="AK9" s="103"/>
      <c r="AL9" s="103"/>
      <c r="AM9" s="103"/>
      <c r="AN9" s="103">
        <f ca="1">IFERROR(__xludf.DUMMYFUNCTION("""COMPUTED_VALUE"""),4)</f>
        <v>4</v>
      </c>
      <c r="AO9" s="103">
        <f ca="1">IFERROR(__xludf.DUMMYFUNCTION("""COMPUTED_VALUE"""),9)</f>
        <v>9</v>
      </c>
      <c r="AP9" s="103"/>
      <c r="AQ9" s="103"/>
      <c r="AR9" s="103">
        <f ca="1">IFERROR(__xludf.DUMMYFUNCTION("""COMPUTED_VALUE"""),2)</f>
        <v>2</v>
      </c>
      <c r="AS9" s="103">
        <f ca="1">IFERROR(__xludf.DUMMYFUNCTION("""COMPUTED_VALUE"""),2)</f>
        <v>2</v>
      </c>
      <c r="AT9" s="103"/>
      <c r="AU9" s="103"/>
      <c r="AV9" s="103"/>
      <c r="AW9" s="103"/>
      <c r="AX9" s="103"/>
      <c r="AY9" s="103"/>
      <c r="AZ9" s="103"/>
      <c r="BA9" s="103"/>
      <c r="BB9" s="103">
        <f ca="1">IFERROR(__xludf.DUMMYFUNCTION("""COMPUTED_VALUE"""),117)</f>
        <v>117</v>
      </c>
      <c r="BC9" s="103">
        <f ca="1">IFERROR(__xludf.DUMMYFUNCTION("""COMPUTED_VALUE"""),99)</f>
        <v>99</v>
      </c>
      <c r="BD9" s="103"/>
      <c r="BE9" s="103"/>
      <c r="BF9" s="103"/>
      <c r="BG9" s="103"/>
      <c r="BH9" s="103"/>
      <c r="BI9" s="103"/>
    </row>
    <row r="10" spans="1:68" ht="12.75">
      <c r="A10" s="114" t="s">
        <v>27</v>
      </c>
      <c r="B10" s="135">
        <f ca="1">C10*0.5</f>
        <v>1.5</v>
      </c>
      <c r="C10" s="115">
        <f t="shared" ref="C10:D10" ca="1" si="2">SUM(N:N)</f>
        <v>3</v>
      </c>
      <c r="D10" s="116">
        <f t="shared" ca="1" si="2"/>
        <v>6</v>
      </c>
      <c r="E10" s="107">
        <f ca="1">IFERROR(__xludf.DUMMYFUNCTION("""COMPUTED_VALUE"""),44470.3129217824)</f>
        <v>44470.312921782403</v>
      </c>
      <c r="F10" s="103" t="str">
        <f ca="1">IFERROR(__xludf.DUMMYFUNCTION("""COMPUTED_VALUE"""),"central@rtp.com")</f>
        <v>central@rtp.com</v>
      </c>
      <c r="G10" s="103" t="str">
        <f ca="1">IFERROR(__xludf.DUMMYFUNCTION("""COMPUTED_VALUE"""),"rtp2021")</f>
        <v>rtp2021</v>
      </c>
      <c r="H10" s="103"/>
      <c r="I10" s="103" t="str">
        <f ca="1">IFERROR(__xludf.DUMMYFUNCTION("""COMPUTED_VALUE"""),"บช.ก.")</f>
        <v>บช.ก.</v>
      </c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>
        <f ca="1">IFERROR(__xludf.DUMMYFUNCTION("""COMPUTED_VALUE"""),1)</f>
        <v>1</v>
      </c>
      <c r="U10" s="103">
        <f ca="1">IFERROR(__xludf.DUMMYFUNCTION("""COMPUTED_VALUE"""),6)</f>
        <v>6</v>
      </c>
      <c r="V10" s="103"/>
      <c r="W10" s="103"/>
      <c r="X10" s="103"/>
      <c r="Y10" s="103"/>
      <c r="Z10" s="103"/>
      <c r="AA10" s="103"/>
      <c r="AB10" s="103"/>
      <c r="AC10" s="103"/>
      <c r="AD10" s="103">
        <f ca="1">IFERROR(__xludf.DUMMYFUNCTION("""COMPUTED_VALUE"""),7)</f>
        <v>7</v>
      </c>
      <c r="AE10" s="103">
        <f ca="1">IFERROR(__xludf.DUMMYFUNCTION("""COMPUTED_VALUE"""),8)</f>
        <v>8</v>
      </c>
      <c r="AF10" s="103">
        <f ca="1">IFERROR(__xludf.DUMMYFUNCTION("""COMPUTED_VALUE"""),3)</f>
        <v>3</v>
      </c>
      <c r="AG10" s="103">
        <f ca="1">IFERROR(__xludf.DUMMYFUNCTION("""COMPUTED_VALUE"""),3)</f>
        <v>3</v>
      </c>
      <c r="AH10" s="103"/>
      <c r="AI10" s="103"/>
      <c r="AJ10" s="103"/>
      <c r="AK10" s="103"/>
      <c r="AL10" s="103"/>
      <c r="AM10" s="103"/>
      <c r="AN10" s="103">
        <f ca="1">IFERROR(__xludf.DUMMYFUNCTION("""COMPUTED_VALUE"""),2)</f>
        <v>2</v>
      </c>
      <c r="AO10" s="103">
        <f ca="1">IFERROR(__xludf.DUMMYFUNCTION("""COMPUTED_VALUE"""),15)</f>
        <v>15</v>
      </c>
      <c r="AP10" s="103"/>
      <c r="AQ10" s="103"/>
      <c r="AR10" s="103">
        <f ca="1">IFERROR(__xludf.DUMMYFUNCTION("""COMPUTED_VALUE"""),1)</f>
        <v>1</v>
      </c>
      <c r="AS10" s="103">
        <f ca="1">IFERROR(__xludf.DUMMYFUNCTION("""COMPUTED_VALUE"""),1)</f>
        <v>1</v>
      </c>
      <c r="AT10" s="103"/>
      <c r="AU10" s="103"/>
      <c r="AV10" s="103"/>
      <c r="AW10" s="103"/>
      <c r="AX10" s="103"/>
      <c r="AY10" s="103"/>
      <c r="AZ10" s="103"/>
      <c r="BA10" s="103"/>
      <c r="BB10" s="103">
        <f ca="1">IFERROR(__xludf.DUMMYFUNCTION("""COMPUTED_VALUE"""),76)</f>
        <v>76</v>
      </c>
      <c r="BC10" s="103">
        <f ca="1">IFERROR(__xludf.DUMMYFUNCTION("""COMPUTED_VALUE"""),67)</f>
        <v>67</v>
      </c>
      <c r="BD10" s="103"/>
      <c r="BE10" s="103"/>
      <c r="BF10" s="103"/>
      <c r="BG10" s="103"/>
      <c r="BH10" s="103"/>
      <c r="BI10" s="103"/>
    </row>
    <row r="11" spans="1:68" ht="12.75">
      <c r="A11" s="114" t="s">
        <v>28</v>
      </c>
      <c r="B11" s="135"/>
      <c r="C11" s="115"/>
      <c r="D11" s="116"/>
    </row>
    <row r="12" spans="1:68" ht="12.75">
      <c r="A12" s="114" t="s">
        <v>29</v>
      </c>
      <c r="B12" s="135">
        <f ca="1">C12*2</f>
        <v>0</v>
      </c>
      <c r="C12" s="115">
        <f t="shared" ref="C12:D12" ca="1" si="3">SUM(P:P)</f>
        <v>0</v>
      </c>
      <c r="D12" s="116">
        <f t="shared" ca="1" si="3"/>
        <v>0</v>
      </c>
    </row>
    <row r="13" spans="1:68" ht="12.75">
      <c r="A13" s="114" t="s">
        <v>30</v>
      </c>
      <c r="B13" s="135">
        <f ca="1">C13*0.5</f>
        <v>2.5</v>
      </c>
      <c r="C13" s="115">
        <f t="shared" ref="C13:D13" ca="1" si="4">SUM(R:R)</f>
        <v>5</v>
      </c>
      <c r="D13" s="116">
        <f t="shared" ca="1" si="4"/>
        <v>5</v>
      </c>
    </row>
    <row r="14" spans="1:68" ht="12.75">
      <c r="A14" s="114" t="s">
        <v>31</v>
      </c>
      <c r="B14" s="135">
        <f ca="1">C14*3</f>
        <v>51</v>
      </c>
      <c r="C14" s="115">
        <f t="shared" ref="C14:D14" ca="1" si="5">SUM(T:T)</f>
        <v>17</v>
      </c>
      <c r="D14" s="116">
        <f t="shared" ca="1" si="5"/>
        <v>46</v>
      </c>
    </row>
    <row r="15" spans="1:68" ht="12.75">
      <c r="A15" s="117" t="s">
        <v>32</v>
      </c>
      <c r="B15" s="136">
        <f t="shared" ref="B15:D15" ca="1" si="6">SUM(B6:B14)</f>
        <v>55</v>
      </c>
      <c r="C15" s="118">
        <f t="shared" ca="1" si="6"/>
        <v>25</v>
      </c>
      <c r="D15" s="119">
        <f t="shared" ca="1" si="6"/>
        <v>57</v>
      </c>
    </row>
    <row r="16" spans="1:68" ht="12.75">
      <c r="A16" s="111" t="s">
        <v>33</v>
      </c>
      <c r="B16" s="137"/>
      <c r="C16" s="120"/>
      <c r="D16" s="121"/>
    </row>
    <row r="17" spans="1:4" ht="12.75">
      <c r="A17" s="114" t="s">
        <v>34</v>
      </c>
      <c r="B17" s="135">
        <f t="shared" ref="B17:B19" ca="1" si="7">C17*5</f>
        <v>20</v>
      </c>
      <c r="C17" s="115">
        <f t="shared" ref="C17:D17" ca="1" si="8">SUM(V:V)</f>
        <v>4</v>
      </c>
      <c r="D17" s="116">
        <f t="shared" ca="1" si="8"/>
        <v>5</v>
      </c>
    </row>
    <row r="18" spans="1:4" ht="12.75">
      <c r="A18" s="114" t="s">
        <v>35</v>
      </c>
      <c r="B18" s="135">
        <f t="shared" ca="1" si="7"/>
        <v>0</v>
      </c>
      <c r="C18" s="115">
        <f t="shared" ref="C18:D18" ca="1" si="9">SUM(X:X)</f>
        <v>0</v>
      </c>
      <c r="D18" s="116">
        <f t="shared" ca="1" si="9"/>
        <v>0</v>
      </c>
    </row>
    <row r="19" spans="1:4" ht="12.75">
      <c r="A19" s="114" t="s">
        <v>36</v>
      </c>
      <c r="B19" s="135">
        <f t="shared" ca="1" si="7"/>
        <v>0</v>
      </c>
      <c r="C19" s="115">
        <f t="shared" ref="C19:D19" ca="1" si="10">SUM(Z:Z)</f>
        <v>0</v>
      </c>
      <c r="D19" s="116">
        <f t="shared" ca="1" si="10"/>
        <v>0</v>
      </c>
    </row>
    <row r="20" spans="1:4" ht="12.75">
      <c r="A20" s="114" t="s">
        <v>37</v>
      </c>
      <c r="B20" s="135">
        <f ca="1">C20*3</f>
        <v>6</v>
      </c>
      <c r="C20" s="115">
        <f t="shared" ref="C20:D20" ca="1" si="11">SUM(AB:AB)</f>
        <v>2</v>
      </c>
      <c r="D20" s="116">
        <f t="shared" ca="1" si="11"/>
        <v>2</v>
      </c>
    </row>
    <row r="21" spans="1:4" ht="12.75">
      <c r="A21" s="114" t="s">
        <v>38</v>
      </c>
      <c r="B21" s="135">
        <f ca="1">C21*2</f>
        <v>162</v>
      </c>
      <c r="C21" s="115">
        <f t="shared" ref="C21:D21" ca="1" si="12">SUM(AD:AD)</f>
        <v>81</v>
      </c>
      <c r="D21" s="116">
        <f t="shared" ca="1" si="12"/>
        <v>155</v>
      </c>
    </row>
    <row r="22" spans="1:4" ht="12.75">
      <c r="A22" s="114" t="s">
        <v>39</v>
      </c>
      <c r="B22" s="135">
        <f ca="1">C22*1</f>
        <v>48</v>
      </c>
      <c r="C22" s="115">
        <f t="shared" ref="C22:D22" ca="1" si="13">SUM(AF:AF)</f>
        <v>48</v>
      </c>
      <c r="D22" s="116">
        <f t="shared" ca="1" si="13"/>
        <v>51</v>
      </c>
    </row>
    <row r="23" spans="1:4" ht="12.75">
      <c r="A23" s="114" t="s">
        <v>40</v>
      </c>
      <c r="B23" s="135">
        <f ca="1">C23*0.5</f>
        <v>17</v>
      </c>
      <c r="C23" s="115">
        <f t="shared" ref="C23:D23" ca="1" si="14">SUM(AH:AH)</f>
        <v>34</v>
      </c>
      <c r="D23" s="116">
        <f t="shared" ca="1" si="14"/>
        <v>42</v>
      </c>
    </row>
    <row r="24" spans="1:4" ht="12.75">
      <c r="A24" s="117" t="s">
        <v>32</v>
      </c>
      <c r="B24" s="118">
        <f t="shared" ref="B24:D24" ca="1" si="15">SUM(B17:B23)</f>
        <v>253</v>
      </c>
      <c r="C24" s="118">
        <f t="shared" ca="1" si="15"/>
        <v>169</v>
      </c>
      <c r="D24" s="119">
        <f t="shared" ca="1" si="15"/>
        <v>255</v>
      </c>
    </row>
    <row r="25" spans="1:4" ht="12.75">
      <c r="A25" s="111" t="s">
        <v>41</v>
      </c>
      <c r="B25" s="137"/>
      <c r="C25" s="120"/>
      <c r="D25" s="121"/>
    </row>
    <row r="26" spans="1:4" ht="12.75">
      <c r="A26" s="114" t="s">
        <v>42</v>
      </c>
      <c r="B26" s="135">
        <f ca="1">C26*5</f>
        <v>10</v>
      </c>
      <c r="C26" s="115">
        <f t="shared" ref="C26:D26" ca="1" si="16">SUM(AJ:AJ)</f>
        <v>2</v>
      </c>
      <c r="D26" s="116">
        <f t="shared" ca="1" si="16"/>
        <v>3</v>
      </c>
    </row>
    <row r="27" spans="1:4" ht="12.75">
      <c r="A27" s="114" t="s">
        <v>43</v>
      </c>
      <c r="B27" s="135">
        <f ca="1">C27*3</f>
        <v>21</v>
      </c>
      <c r="C27" s="115">
        <f t="shared" ref="C27:D27" ca="1" si="17">SUM(AL:AL)</f>
        <v>7</v>
      </c>
      <c r="D27" s="116">
        <f t="shared" ca="1" si="17"/>
        <v>9</v>
      </c>
    </row>
    <row r="28" spans="1:4" ht="12.75">
      <c r="A28" s="114" t="s">
        <v>44</v>
      </c>
      <c r="B28" s="135">
        <f ca="1">C28*0.5</f>
        <v>17.5</v>
      </c>
      <c r="C28" s="115">
        <f t="shared" ref="C28:D28" ca="1" si="18">SUM(AN:AN)</f>
        <v>35</v>
      </c>
      <c r="D28" s="116">
        <f t="shared" ca="1" si="18"/>
        <v>105</v>
      </c>
    </row>
    <row r="29" spans="1:4" ht="12.75">
      <c r="A29" s="117" t="s">
        <v>32</v>
      </c>
      <c r="B29" s="118">
        <f t="shared" ref="B29:D29" ca="1" si="19">SUM(B26:B28)</f>
        <v>48.5</v>
      </c>
      <c r="C29" s="118">
        <f t="shared" ca="1" si="19"/>
        <v>44</v>
      </c>
      <c r="D29" s="119">
        <f t="shared" ca="1" si="19"/>
        <v>117</v>
      </c>
    </row>
    <row r="30" spans="1:4" ht="12.75">
      <c r="A30" s="111" t="s">
        <v>45</v>
      </c>
      <c r="B30" s="137"/>
      <c r="C30" s="120"/>
      <c r="D30" s="121"/>
    </row>
    <row r="31" spans="1:4" ht="12.75">
      <c r="A31" s="114" t="s">
        <v>46</v>
      </c>
      <c r="B31" s="135">
        <f ca="1">C31*3</f>
        <v>0</v>
      </c>
      <c r="C31" s="115">
        <f t="shared" ref="C31:D31" ca="1" si="20">SUM(AP:AP)</f>
        <v>0</v>
      </c>
      <c r="D31" s="116">
        <f t="shared" ca="1" si="20"/>
        <v>0</v>
      </c>
    </row>
    <row r="32" spans="1:4" ht="12.75">
      <c r="A32" s="114" t="s">
        <v>47</v>
      </c>
      <c r="B32" s="135">
        <f ca="1">C32*2</f>
        <v>50</v>
      </c>
      <c r="C32" s="115">
        <f t="shared" ref="C32:D32" ca="1" si="21">SUM(AR:AR)</f>
        <v>25</v>
      </c>
      <c r="D32" s="116">
        <f t="shared" ca="1" si="21"/>
        <v>24</v>
      </c>
    </row>
    <row r="33" spans="1:68" ht="12.75">
      <c r="A33" s="114" t="s">
        <v>48</v>
      </c>
      <c r="B33" s="135">
        <f ca="1">C33*1</f>
        <v>1</v>
      </c>
      <c r="C33" s="115">
        <f t="shared" ref="C33:D33" ca="1" si="22">SUM(AT:AT)</f>
        <v>1</v>
      </c>
      <c r="D33" s="116">
        <f t="shared" ca="1" si="22"/>
        <v>1</v>
      </c>
    </row>
    <row r="34" spans="1:68" ht="12.75">
      <c r="A34" s="114" t="s">
        <v>49</v>
      </c>
      <c r="B34" s="135">
        <f ca="1">C34*5</f>
        <v>0</v>
      </c>
      <c r="C34" s="115">
        <f t="shared" ref="C34:D34" ca="1" si="23">SUM(AV:AV)</f>
        <v>0</v>
      </c>
      <c r="D34" s="116">
        <f t="shared" ca="1" si="23"/>
        <v>0</v>
      </c>
    </row>
    <row r="35" spans="1:68" ht="12.75">
      <c r="A35" s="114" t="s">
        <v>50</v>
      </c>
      <c r="B35" s="135">
        <f ca="1">C35*0.5</f>
        <v>1</v>
      </c>
      <c r="C35" s="115">
        <f t="shared" ref="C35:D35" ca="1" si="24">SUM(AX:AX)</f>
        <v>2</v>
      </c>
      <c r="D35" s="116">
        <f t="shared" ca="1" si="24"/>
        <v>2</v>
      </c>
    </row>
    <row r="36" spans="1:68" ht="12.75">
      <c r="A36" s="117" t="s">
        <v>32</v>
      </c>
      <c r="B36" s="118">
        <f t="shared" ref="B36:D36" ca="1" si="25">SUM(B31:B35)</f>
        <v>52</v>
      </c>
      <c r="C36" s="118">
        <f t="shared" ca="1" si="25"/>
        <v>28</v>
      </c>
      <c r="D36" s="119">
        <f t="shared" ca="1" si="25"/>
        <v>27</v>
      </c>
    </row>
    <row r="37" spans="1:68" ht="12.75">
      <c r="A37" s="122" t="s">
        <v>51</v>
      </c>
      <c r="B37" s="138">
        <f ca="1">C37*1</f>
        <v>1</v>
      </c>
      <c r="C37" s="123">
        <f t="shared" ref="C37:D37" ca="1" si="26">SUM(AZ:AZ)</f>
        <v>1</v>
      </c>
      <c r="D37" s="124">
        <f t="shared" ca="1" si="26"/>
        <v>4</v>
      </c>
    </row>
    <row r="38" spans="1:68" ht="12.75">
      <c r="A38" s="125" t="s">
        <v>52</v>
      </c>
      <c r="B38" s="139"/>
      <c r="C38" s="123">
        <f t="shared" ref="C38:D38" ca="1" si="27">SUM(BB:BB)</f>
        <v>861</v>
      </c>
      <c r="D38" s="124">
        <f t="shared" ca="1" si="27"/>
        <v>790</v>
      </c>
    </row>
    <row r="39" spans="1:68" ht="15">
      <c r="A39" s="126" t="s">
        <v>20</v>
      </c>
      <c r="B39" s="140">
        <f t="shared" ref="B39:D39" ca="1" si="28">SUM(B15,B24,B29,B36,B37,B38)</f>
        <v>409.5</v>
      </c>
      <c r="C39" s="127">
        <f t="shared" ca="1" si="28"/>
        <v>1128</v>
      </c>
      <c r="D39" s="128">
        <f t="shared" ca="1" si="28"/>
        <v>1250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</row>
  </sheetData>
  <mergeCells count="3">
    <mergeCell ref="A1:D1"/>
    <mergeCell ref="A4:A5"/>
    <mergeCell ref="C4:D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/>
      <c r="C2" s="102" t="s">
        <v>72</v>
      </c>
      <c r="D2" s="103" t="str">
        <f ca="1">IFERROR(__xludf.DUMMYFUNCTION("QUERY('Form Responses 1'!A:BE,""select * where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6</v>
      </c>
      <c r="B3" s="105" t="s">
        <v>73</v>
      </c>
      <c r="C3" s="106" t="s">
        <v>73</v>
      </c>
      <c r="D3" s="107">
        <f ca="1">IFERROR(__xludf.DUMMYFUNCTION("""COMPUTED_VALUE"""),44463.403617581)</f>
        <v>44463.403617581003</v>
      </c>
      <c r="E3" s="103" t="str">
        <f ca="1">IFERROR(__xludf.DUMMYFUNCTION("""COMPUTED_VALUE"""),"cyber@rtp.com")</f>
        <v>cyber@rtp.com</v>
      </c>
      <c r="F3" s="108" t="str">
        <f ca="1">IFERROR(__xludf.DUMMYFUNCTION("""COMPUTED_VALUE"""),"rtp2021")</f>
        <v>rtp2021</v>
      </c>
      <c r="G3" s="103"/>
      <c r="H3" s="108" t="str">
        <f ca="1">IFERROR(__xludf.DUMMYFUNCTION("""COMPUTED_VALUE"""),"บช.สอท.")</f>
        <v>บช.สอท.</v>
      </c>
      <c r="I3" s="108">
        <f ca="1">IFERROR(__xludf.DUMMYFUNCTION("""COMPUTED_VALUE"""),0)</f>
        <v>0</v>
      </c>
      <c r="J3" s="108">
        <f ca="1">IFERROR(__xludf.DUMMYFUNCTION("""COMPUTED_VALUE"""),0)</f>
        <v>0</v>
      </c>
      <c r="K3" s="108">
        <f ca="1">IFERROR(__xludf.DUMMYFUNCTION("""COMPUTED_VALUE"""),0)</f>
        <v>0</v>
      </c>
      <c r="L3" s="108">
        <f ca="1">IFERROR(__xludf.DUMMYFUNCTION("""COMPUTED_VALUE"""),0)</f>
        <v>0</v>
      </c>
      <c r="M3" s="108">
        <f ca="1">IFERROR(__xludf.DUMMYFUNCTION("""COMPUTED_VALUE"""),0)</f>
        <v>0</v>
      </c>
      <c r="N3" s="108">
        <f ca="1">IFERROR(__xludf.DUMMYFUNCTION("""COMPUTED_VALUE"""),0)</f>
        <v>0</v>
      </c>
      <c r="O3" s="108">
        <f ca="1">IFERROR(__xludf.DUMMYFUNCTION("""COMPUTED_VALUE"""),0)</f>
        <v>0</v>
      </c>
      <c r="P3" s="108">
        <f ca="1">IFERROR(__xludf.DUMMYFUNCTION("""COMPUTED_VALUE"""),0)</f>
        <v>0</v>
      </c>
      <c r="Q3" s="108">
        <f ca="1">IFERROR(__xludf.DUMMYFUNCTION("""COMPUTED_VALUE"""),0)</f>
        <v>0</v>
      </c>
      <c r="R3" s="108">
        <f ca="1">IFERROR(__xludf.DUMMYFUNCTION("""COMPUTED_VALUE"""),0)</f>
        <v>0</v>
      </c>
      <c r="S3" s="108">
        <f ca="1">IFERROR(__xludf.DUMMYFUNCTION("""COMPUTED_VALUE"""),0)</f>
        <v>0</v>
      </c>
      <c r="T3" s="108">
        <f ca="1">IFERROR(__xludf.DUMMYFUNCTION("""COMPUTED_VALUE"""),0)</f>
        <v>0</v>
      </c>
      <c r="U3" s="108">
        <f ca="1">IFERROR(__xludf.DUMMYFUNCTION("""COMPUTED_VALUE"""),0)</f>
        <v>0</v>
      </c>
      <c r="V3" s="108">
        <f ca="1">IFERROR(__xludf.DUMMYFUNCTION("""COMPUTED_VALUE"""),0)</f>
        <v>0</v>
      </c>
      <c r="W3" s="108">
        <f ca="1">IFERROR(__xludf.DUMMYFUNCTION("""COMPUTED_VALUE"""),0)</f>
        <v>0</v>
      </c>
      <c r="X3" s="108">
        <f ca="1">IFERROR(__xludf.DUMMYFUNCTION("""COMPUTED_VALUE"""),0)</f>
        <v>0</v>
      </c>
      <c r="Y3" s="108">
        <f ca="1">IFERROR(__xludf.DUMMYFUNCTION("""COMPUTED_VALUE"""),0)</f>
        <v>0</v>
      </c>
      <c r="Z3" s="108">
        <f ca="1">IFERROR(__xludf.DUMMYFUNCTION("""COMPUTED_VALUE"""),0)</f>
        <v>0</v>
      </c>
      <c r="AA3" s="108">
        <f ca="1">IFERROR(__xludf.DUMMYFUNCTION("""COMPUTED_VALUE"""),0)</f>
        <v>0</v>
      </c>
      <c r="AB3" s="108">
        <f ca="1">IFERROR(__xludf.DUMMYFUNCTION("""COMPUTED_VALUE"""),0)</f>
        <v>0</v>
      </c>
      <c r="AC3" s="108">
        <f ca="1">IFERROR(__xludf.DUMMYFUNCTION("""COMPUTED_VALUE"""),0)</f>
        <v>0</v>
      </c>
      <c r="AD3" s="108">
        <f ca="1">IFERROR(__xludf.DUMMYFUNCTION("""COMPUTED_VALUE"""),0)</f>
        <v>0</v>
      </c>
      <c r="AE3" s="108">
        <f ca="1">IFERROR(__xludf.DUMMYFUNCTION("""COMPUTED_VALUE"""),0)</f>
        <v>0</v>
      </c>
      <c r="AF3" s="108">
        <f ca="1">IFERROR(__xludf.DUMMYFUNCTION("""COMPUTED_VALUE"""),0)</f>
        <v>0</v>
      </c>
      <c r="AG3" s="108">
        <f ca="1">IFERROR(__xludf.DUMMYFUNCTION("""COMPUTED_VALUE"""),0)</f>
        <v>0</v>
      </c>
      <c r="AH3" s="108">
        <f ca="1">IFERROR(__xludf.DUMMYFUNCTION("""COMPUTED_VALUE"""),0)</f>
        <v>0</v>
      </c>
      <c r="AI3" s="108">
        <f ca="1">IFERROR(__xludf.DUMMYFUNCTION("""COMPUTED_VALUE"""),0)</f>
        <v>0</v>
      </c>
      <c r="AJ3" s="108">
        <f ca="1">IFERROR(__xludf.DUMMYFUNCTION("""COMPUTED_VALUE"""),0)</f>
        <v>0</v>
      </c>
      <c r="AK3" s="108">
        <f ca="1">IFERROR(__xludf.DUMMYFUNCTION("""COMPUTED_VALUE"""),0)</f>
        <v>0</v>
      </c>
      <c r="AL3" s="108">
        <f ca="1">IFERROR(__xludf.DUMMYFUNCTION("""COMPUTED_VALUE"""),0)</f>
        <v>0</v>
      </c>
      <c r="AM3" s="108">
        <f ca="1">IFERROR(__xludf.DUMMYFUNCTION("""COMPUTED_VALUE"""),0)</f>
        <v>0</v>
      </c>
      <c r="AN3" s="108">
        <f ca="1">IFERROR(__xludf.DUMMYFUNCTION("""COMPUTED_VALUE"""),0)</f>
        <v>0</v>
      </c>
      <c r="AO3" s="108">
        <f ca="1">IFERROR(__xludf.DUMMYFUNCTION("""COMPUTED_VALUE"""),0)</f>
        <v>0</v>
      </c>
      <c r="AP3" s="108">
        <f ca="1">IFERROR(__xludf.DUMMYFUNCTION("""COMPUTED_VALUE"""),0)</f>
        <v>0</v>
      </c>
      <c r="AQ3" s="108">
        <f ca="1">IFERROR(__xludf.DUMMYFUNCTION("""COMPUTED_VALUE"""),0)</f>
        <v>0</v>
      </c>
      <c r="AR3" s="108">
        <f ca="1">IFERROR(__xludf.DUMMYFUNCTION("""COMPUTED_VALUE"""),0)</f>
        <v>0</v>
      </c>
      <c r="AS3" s="108">
        <f ca="1">IFERROR(__xludf.DUMMYFUNCTION("""COMPUTED_VALUE"""),0)</f>
        <v>0</v>
      </c>
      <c r="AT3" s="108">
        <f ca="1">IFERROR(__xludf.DUMMYFUNCTION("""COMPUTED_VALUE"""),0)</f>
        <v>0</v>
      </c>
      <c r="AU3" s="108">
        <f ca="1">IFERROR(__xludf.DUMMYFUNCTION("""COMPUTED_VALUE"""),0)</f>
        <v>0</v>
      </c>
      <c r="AV3" s="108">
        <f ca="1">IFERROR(__xludf.DUMMYFUNCTION("""COMPUTED_VALUE"""),0)</f>
        <v>0</v>
      </c>
      <c r="AW3" s="108">
        <f ca="1">IFERROR(__xludf.DUMMYFUNCTION("""COMPUTED_VALUE"""),0)</f>
        <v>0</v>
      </c>
      <c r="AX3" s="108">
        <f ca="1">IFERROR(__xludf.DUMMYFUNCTION("""COMPUTED_VALUE"""),0)</f>
        <v>0</v>
      </c>
      <c r="AY3" s="108">
        <f ca="1">IFERROR(__xludf.DUMMYFUNCTION("""COMPUTED_VALUE"""),0)</f>
        <v>0</v>
      </c>
      <c r="AZ3" s="108">
        <f ca="1">IFERROR(__xludf.DUMMYFUNCTION("""COMPUTED_VALUE"""),0)</f>
        <v>0</v>
      </c>
      <c r="BA3" s="108">
        <f ca="1">IFERROR(__xludf.DUMMYFUNCTION("""COMPUTED_VALUE"""),18)</f>
        <v>18</v>
      </c>
      <c r="BB3" s="108">
        <f ca="1">IFERROR(__xludf.DUMMYFUNCTION("""COMPUTED_VALUE"""),18)</f>
        <v>18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  <c r="D4" s="107">
        <f ca="1">IFERROR(__xludf.DUMMYFUNCTION("""COMPUTED_VALUE"""),44464.3028154976)</f>
        <v>44464.302815497598</v>
      </c>
      <c r="E4" s="103" t="str">
        <f ca="1">IFERROR(__xludf.DUMMYFUNCTION("""COMPUTED_VALUE"""),"cyber@rtp.com")</f>
        <v>cyber@rtp.com</v>
      </c>
      <c r="F4" s="103" t="str">
        <f ca="1">IFERROR(__xludf.DUMMYFUNCTION("""COMPUTED_VALUE"""),"rtp2021")</f>
        <v>rtp2021</v>
      </c>
      <c r="G4" s="103"/>
      <c r="H4" s="103" t="str">
        <f ca="1">IFERROR(__xludf.DUMMYFUNCTION("""COMPUTED_VALUE"""),"บช.สอท.")</f>
        <v>บช.สอท.</v>
      </c>
      <c r="I4" s="103"/>
      <c r="J4" s="103"/>
      <c r="K4" s="103"/>
      <c r="L4" s="103"/>
      <c r="M4" s="103">
        <f ca="1">IFERROR(__xludf.DUMMYFUNCTION("""COMPUTED_VALUE"""),1)</f>
        <v>1</v>
      </c>
      <c r="N4" s="103">
        <f ca="1">IFERROR(__xludf.DUMMYFUNCTION("""COMPUTED_VALUE"""),1)</f>
        <v>1</v>
      </c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>
        <f ca="1">IFERROR(__xludf.DUMMYFUNCTION("""COMPUTED_VALUE"""),2)</f>
        <v>2</v>
      </c>
      <c r="AD4" s="103">
        <f ca="1">IFERROR(__xludf.DUMMYFUNCTION("""COMPUTED_VALUE"""),2)</f>
        <v>2</v>
      </c>
      <c r="AE4" s="103"/>
      <c r="AF4" s="103"/>
      <c r="AG4" s="103">
        <f ca="1">IFERROR(__xludf.DUMMYFUNCTION("""COMPUTED_VALUE"""),2)</f>
        <v>2</v>
      </c>
      <c r="AH4" s="103">
        <f ca="1">IFERROR(__xludf.DUMMYFUNCTION("""COMPUTED_VALUE"""),3)</f>
        <v>3</v>
      </c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>
        <f ca="1">IFERROR(__xludf.DUMMYFUNCTION("""COMPUTED_VALUE"""),0)</f>
        <v>0</v>
      </c>
      <c r="AZ4" s="103">
        <f ca="1">IFERROR(__xludf.DUMMYFUNCTION("""COMPUTED_VALUE"""),0)</f>
        <v>0</v>
      </c>
      <c r="BA4" s="103">
        <f ca="1">IFERROR(__xludf.DUMMYFUNCTION("""COMPUTED_VALUE"""),33)</f>
        <v>33</v>
      </c>
      <c r="BB4" s="103">
        <f ca="1">IFERROR(__xludf.DUMMYFUNCTION("""COMPUTED_VALUE"""),33)</f>
        <v>33</v>
      </c>
      <c r="BC4" s="103"/>
      <c r="BD4" s="103"/>
      <c r="BE4" s="103"/>
      <c r="BF4" s="103"/>
      <c r="BG4" s="103"/>
      <c r="BH4" s="103"/>
    </row>
    <row r="5" spans="1:67" ht="12.75">
      <c r="A5" s="638"/>
      <c r="B5" s="109" t="s">
        <v>21</v>
      </c>
      <c r="C5" s="110" t="s">
        <v>22</v>
      </c>
      <c r="D5" s="107">
        <f ca="1">IFERROR(__xludf.DUMMYFUNCTION("""COMPUTED_VALUE"""),44465.3169042708)</f>
        <v>44465.316904270803</v>
      </c>
      <c r="E5" s="103" t="str">
        <f ca="1">IFERROR(__xludf.DUMMYFUNCTION("""COMPUTED_VALUE"""),"cyber@rtp.com")</f>
        <v>cyber@rtp.com</v>
      </c>
      <c r="F5" s="103" t="str">
        <f ca="1">IFERROR(__xludf.DUMMYFUNCTION("""COMPUTED_VALUE"""),"rtp2021")</f>
        <v>rtp2021</v>
      </c>
      <c r="G5" s="103"/>
      <c r="H5" s="103" t="str">
        <f ca="1">IFERROR(__xludf.DUMMYFUNCTION("""COMPUTED_VALUE"""),"บช.สอท.")</f>
        <v>บช.สอท.</v>
      </c>
      <c r="I5" s="103">
        <f ca="1">IFERROR(__xludf.DUMMYFUNCTION("""COMPUTED_VALUE"""),0)</f>
        <v>0</v>
      </c>
      <c r="J5" s="103">
        <f ca="1">IFERROR(__xludf.DUMMYFUNCTION("""COMPUTED_VALUE"""),0)</f>
        <v>0</v>
      </c>
      <c r="K5" s="103">
        <f ca="1">IFERROR(__xludf.DUMMYFUNCTION("""COMPUTED_VALUE"""),0)</f>
        <v>0</v>
      </c>
      <c r="L5" s="103">
        <f ca="1">IFERROR(__xludf.DUMMYFUNCTION("""COMPUTED_VALUE"""),0)</f>
        <v>0</v>
      </c>
      <c r="M5" s="103">
        <f ca="1">IFERROR(__xludf.DUMMYFUNCTION("""COMPUTED_VALUE"""),0)</f>
        <v>0</v>
      </c>
      <c r="N5" s="103">
        <f ca="1">IFERROR(__xludf.DUMMYFUNCTION("""COMPUTED_VALUE"""),0)</f>
        <v>0</v>
      </c>
      <c r="O5" s="103">
        <f ca="1">IFERROR(__xludf.DUMMYFUNCTION("""COMPUTED_VALUE"""),1)</f>
        <v>1</v>
      </c>
      <c r="P5" s="103">
        <f ca="1">IFERROR(__xludf.DUMMYFUNCTION("""COMPUTED_VALUE"""),1)</f>
        <v>1</v>
      </c>
      <c r="Q5" s="103">
        <f ca="1">IFERROR(__xludf.DUMMYFUNCTION("""COMPUTED_VALUE"""),0)</f>
        <v>0</v>
      </c>
      <c r="R5" s="103">
        <f ca="1">IFERROR(__xludf.DUMMYFUNCTION("""COMPUTED_VALUE"""),0)</f>
        <v>0</v>
      </c>
      <c r="S5" s="103">
        <f ca="1">IFERROR(__xludf.DUMMYFUNCTION("""COMPUTED_VALUE"""),2)</f>
        <v>2</v>
      </c>
      <c r="T5" s="103">
        <f ca="1">IFERROR(__xludf.DUMMYFUNCTION("""COMPUTED_VALUE"""),2)</f>
        <v>2</v>
      </c>
      <c r="U5" s="103">
        <f ca="1">IFERROR(__xludf.DUMMYFUNCTION("""COMPUTED_VALUE"""),0)</f>
        <v>0</v>
      </c>
      <c r="V5" s="103">
        <f ca="1">IFERROR(__xludf.DUMMYFUNCTION("""COMPUTED_VALUE"""),0)</f>
        <v>0</v>
      </c>
      <c r="W5" s="103">
        <f ca="1">IFERROR(__xludf.DUMMYFUNCTION("""COMPUTED_VALUE"""),0)</f>
        <v>0</v>
      </c>
      <c r="X5" s="103">
        <f ca="1">IFERROR(__xludf.DUMMYFUNCTION("""COMPUTED_VALUE"""),0)</f>
        <v>0</v>
      </c>
      <c r="Y5" s="103">
        <f ca="1">IFERROR(__xludf.DUMMYFUNCTION("""COMPUTED_VALUE"""),0)</f>
        <v>0</v>
      </c>
      <c r="Z5" s="103">
        <f ca="1">IFERROR(__xludf.DUMMYFUNCTION("""COMPUTED_VALUE"""),0)</f>
        <v>0</v>
      </c>
      <c r="AA5" s="103">
        <f ca="1">IFERROR(__xludf.DUMMYFUNCTION("""COMPUTED_VALUE"""),0)</f>
        <v>0</v>
      </c>
      <c r="AB5" s="103">
        <f ca="1">IFERROR(__xludf.DUMMYFUNCTION("""COMPUTED_VALUE"""),0)</f>
        <v>0</v>
      </c>
      <c r="AC5" s="103">
        <f ca="1">IFERROR(__xludf.DUMMYFUNCTION("""COMPUTED_VALUE"""),1)</f>
        <v>1</v>
      </c>
      <c r="AD5" s="103">
        <f ca="1">IFERROR(__xludf.DUMMYFUNCTION("""COMPUTED_VALUE"""),1)</f>
        <v>1</v>
      </c>
      <c r="AE5" s="103">
        <f ca="1">IFERROR(__xludf.DUMMYFUNCTION("""COMPUTED_VALUE"""),0)</f>
        <v>0</v>
      </c>
      <c r="AF5" s="103">
        <f ca="1">IFERROR(__xludf.DUMMYFUNCTION("""COMPUTED_VALUE"""),0)</f>
        <v>0</v>
      </c>
      <c r="AG5" s="103">
        <f ca="1">IFERROR(__xludf.DUMMYFUNCTION("""COMPUTED_VALUE"""),0)</f>
        <v>0</v>
      </c>
      <c r="AH5" s="103">
        <f ca="1">IFERROR(__xludf.DUMMYFUNCTION("""COMPUTED_VALUE"""),0)</f>
        <v>0</v>
      </c>
      <c r="AI5" s="103">
        <f ca="1">IFERROR(__xludf.DUMMYFUNCTION("""COMPUTED_VALUE"""),0)</f>
        <v>0</v>
      </c>
      <c r="AJ5" s="103">
        <f ca="1">IFERROR(__xludf.DUMMYFUNCTION("""COMPUTED_VALUE"""),0)</f>
        <v>0</v>
      </c>
      <c r="AK5" s="103">
        <f ca="1">IFERROR(__xludf.DUMMYFUNCTION("""COMPUTED_VALUE"""),0)</f>
        <v>0</v>
      </c>
      <c r="AL5" s="103">
        <f ca="1">IFERROR(__xludf.DUMMYFUNCTION("""COMPUTED_VALUE"""),0)</f>
        <v>0</v>
      </c>
      <c r="AM5" s="103">
        <f ca="1">IFERROR(__xludf.DUMMYFUNCTION("""COMPUTED_VALUE"""),0)</f>
        <v>0</v>
      </c>
      <c r="AN5" s="103">
        <f ca="1">IFERROR(__xludf.DUMMYFUNCTION("""COMPUTED_VALUE"""),0)</f>
        <v>0</v>
      </c>
      <c r="AO5" s="103">
        <f ca="1">IFERROR(__xludf.DUMMYFUNCTION("""COMPUTED_VALUE"""),0)</f>
        <v>0</v>
      </c>
      <c r="AP5" s="103">
        <f ca="1">IFERROR(__xludf.DUMMYFUNCTION("""COMPUTED_VALUE"""),0)</f>
        <v>0</v>
      </c>
      <c r="AQ5" s="103">
        <f ca="1">IFERROR(__xludf.DUMMYFUNCTION("""COMPUTED_VALUE"""),1)</f>
        <v>1</v>
      </c>
      <c r="AR5" s="103">
        <f ca="1">IFERROR(__xludf.DUMMYFUNCTION("""COMPUTED_VALUE"""),1)</f>
        <v>1</v>
      </c>
      <c r="AS5" s="103">
        <f ca="1">IFERROR(__xludf.DUMMYFUNCTION("""COMPUTED_VALUE"""),0)</f>
        <v>0</v>
      </c>
      <c r="AT5" s="103">
        <f ca="1">IFERROR(__xludf.DUMMYFUNCTION("""COMPUTED_VALUE"""),0)</f>
        <v>0</v>
      </c>
      <c r="AU5" s="103">
        <f ca="1">IFERROR(__xludf.DUMMYFUNCTION("""COMPUTED_VALUE"""),0)</f>
        <v>0</v>
      </c>
      <c r="AV5" s="103">
        <f ca="1">IFERROR(__xludf.DUMMYFUNCTION("""COMPUTED_VALUE"""),0)</f>
        <v>0</v>
      </c>
      <c r="AW5" s="103">
        <f ca="1">IFERROR(__xludf.DUMMYFUNCTION("""COMPUTED_VALUE"""),0)</f>
        <v>0</v>
      </c>
      <c r="AX5" s="103">
        <f ca="1">IFERROR(__xludf.DUMMYFUNCTION("""COMPUTED_VALUE"""),0)</f>
        <v>0</v>
      </c>
      <c r="AY5" s="103">
        <f ca="1">IFERROR(__xludf.DUMMYFUNCTION("""COMPUTED_VALUE"""),0)</f>
        <v>0</v>
      </c>
      <c r="AZ5" s="103">
        <f ca="1">IFERROR(__xludf.DUMMYFUNCTION("""COMPUTED_VALUE"""),0)</f>
        <v>0</v>
      </c>
      <c r="BA5" s="103">
        <f ca="1">IFERROR(__xludf.DUMMYFUNCTION("""COMPUTED_VALUE"""),44)</f>
        <v>44</v>
      </c>
      <c r="BB5" s="103">
        <f ca="1">IFERROR(__xludf.DUMMYFUNCTION("""COMPUTED_VALUE"""),44)</f>
        <v>44</v>
      </c>
      <c r="BC5" s="103"/>
      <c r="BD5" s="103"/>
      <c r="BE5" s="103"/>
      <c r="BF5" s="103"/>
      <c r="BG5" s="103"/>
      <c r="BH5" s="103"/>
    </row>
    <row r="6" spans="1:67" ht="12.75">
      <c r="A6" s="111" t="s">
        <v>23</v>
      </c>
      <c r="B6" s="112"/>
      <c r="C6" s="113"/>
      <c r="D6" s="107">
        <f ca="1">IFERROR(__xludf.DUMMYFUNCTION("""COMPUTED_VALUE"""),44466.310696412)</f>
        <v>44466.310696412002</v>
      </c>
      <c r="E6" s="103" t="str">
        <f ca="1">IFERROR(__xludf.DUMMYFUNCTION("""COMPUTED_VALUE"""),"cyber@rtp.com")</f>
        <v>cyber@rtp.com</v>
      </c>
      <c r="F6" s="103" t="str">
        <f ca="1">IFERROR(__xludf.DUMMYFUNCTION("""COMPUTED_VALUE"""),"rtp2021")</f>
        <v>rtp2021</v>
      </c>
      <c r="G6" s="103"/>
      <c r="H6" s="103" t="str">
        <f ca="1">IFERROR(__xludf.DUMMYFUNCTION("""COMPUTED_VALUE"""),"บช.สอท.")</f>
        <v>บช.สอท.</v>
      </c>
      <c r="I6" s="103">
        <f ca="1">IFERROR(__xludf.DUMMYFUNCTION("""COMPUTED_VALUE"""),0)</f>
        <v>0</v>
      </c>
      <c r="J6" s="103">
        <f ca="1">IFERROR(__xludf.DUMMYFUNCTION("""COMPUTED_VALUE"""),0)</f>
        <v>0</v>
      </c>
      <c r="K6" s="103">
        <f ca="1">IFERROR(__xludf.DUMMYFUNCTION("""COMPUTED_VALUE"""),1)</f>
        <v>1</v>
      </c>
      <c r="L6" s="103">
        <f ca="1">IFERROR(__xludf.DUMMYFUNCTION("""COMPUTED_VALUE"""),1)</f>
        <v>1</v>
      </c>
      <c r="M6" s="103">
        <f ca="1">IFERROR(__xludf.DUMMYFUNCTION("""COMPUTED_VALUE"""),6)</f>
        <v>6</v>
      </c>
      <c r="N6" s="103">
        <f ca="1">IFERROR(__xludf.DUMMYFUNCTION("""COMPUTED_VALUE"""),6)</f>
        <v>6</v>
      </c>
      <c r="O6" s="103">
        <f ca="1">IFERROR(__xludf.DUMMYFUNCTION("""COMPUTED_VALUE"""),0)</f>
        <v>0</v>
      </c>
      <c r="P6" s="103">
        <f ca="1">IFERROR(__xludf.DUMMYFUNCTION("""COMPUTED_VALUE"""),0)</f>
        <v>0</v>
      </c>
      <c r="Q6" s="103">
        <f ca="1">IFERROR(__xludf.DUMMYFUNCTION("""COMPUTED_VALUE"""),10)</f>
        <v>10</v>
      </c>
      <c r="R6" s="103">
        <f ca="1">IFERROR(__xludf.DUMMYFUNCTION("""COMPUTED_VALUE"""),10)</f>
        <v>10</v>
      </c>
      <c r="S6" s="103">
        <f ca="1">IFERROR(__xludf.DUMMYFUNCTION("""COMPUTED_VALUE"""),1)</f>
        <v>1</v>
      </c>
      <c r="T6" s="103">
        <f ca="1">IFERROR(__xludf.DUMMYFUNCTION("""COMPUTED_VALUE"""),1)</f>
        <v>1</v>
      </c>
      <c r="U6" s="103">
        <f ca="1">IFERROR(__xludf.DUMMYFUNCTION("""COMPUTED_VALUE"""),1)</f>
        <v>1</v>
      </c>
      <c r="V6" s="103">
        <f ca="1">IFERROR(__xludf.DUMMYFUNCTION("""COMPUTED_VALUE"""),1)</f>
        <v>1</v>
      </c>
      <c r="W6" s="103">
        <f ca="1">IFERROR(__xludf.DUMMYFUNCTION("""COMPUTED_VALUE"""),0)</f>
        <v>0</v>
      </c>
      <c r="X6" s="103">
        <f ca="1">IFERROR(__xludf.DUMMYFUNCTION("""COMPUTED_VALUE"""),0)</f>
        <v>0</v>
      </c>
      <c r="Y6" s="103">
        <f ca="1">IFERROR(__xludf.DUMMYFUNCTION("""COMPUTED_VALUE"""),0)</f>
        <v>0</v>
      </c>
      <c r="Z6" s="103">
        <f ca="1">IFERROR(__xludf.DUMMYFUNCTION("""COMPUTED_VALUE"""),0)</f>
        <v>0</v>
      </c>
      <c r="AA6" s="103">
        <f ca="1">IFERROR(__xludf.DUMMYFUNCTION("""COMPUTED_VALUE"""),0)</f>
        <v>0</v>
      </c>
      <c r="AB6" s="103">
        <f ca="1">IFERROR(__xludf.DUMMYFUNCTION("""COMPUTED_VALUE"""),0)</f>
        <v>0</v>
      </c>
      <c r="AC6" s="103">
        <f ca="1">IFERROR(__xludf.DUMMYFUNCTION("""COMPUTED_VALUE"""),2)</f>
        <v>2</v>
      </c>
      <c r="AD6" s="103">
        <f ca="1">IFERROR(__xludf.DUMMYFUNCTION("""COMPUTED_VALUE"""),3)</f>
        <v>3</v>
      </c>
      <c r="AE6" s="103">
        <f ca="1">IFERROR(__xludf.DUMMYFUNCTION("""COMPUTED_VALUE"""),1)</f>
        <v>1</v>
      </c>
      <c r="AF6" s="103">
        <f ca="1">IFERROR(__xludf.DUMMYFUNCTION("""COMPUTED_VALUE"""),1)</f>
        <v>1</v>
      </c>
      <c r="AG6" s="103">
        <f ca="1">IFERROR(__xludf.DUMMYFUNCTION("""COMPUTED_VALUE"""),0)</f>
        <v>0</v>
      </c>
      <c r="AH6" s="103">
        <f ca="1">IFERROR(__xludf.DUMMYFUNCTION("""COMPUTED_VALUE"""),0)</f>
        <v>0</v>
      </c>
      <c r="AI6" s="103">
        <f ca="1">IFERROR(__xludf.DUMMYFUNCTION("""COMPUTED_VALUE"""),0)</f>
        <v>0</v>
      </c>
      <c r="AJ6" s="103">
        <f ca="1">IFERROR(__xludf.DUMMYFUNCTION("""COMPUTED_VALUE"""),0)</f>
        <v>0</v>
      </c>
      <c r="AK6" s="103">
        <f ca="1">IFERROR(__xludf.DUMMYFUNCTION("""COMPUTED_VALUE"""),0)</f>
        <v>0</v>
      </c>
      <c r="AL6" s="103">
        <f ca="1">IFERROR(__xludf.DUMMYFUNCTION("""COMPUTED_VALUE"""),0)</f>
        <v>0</v>
      </c>
      <c r="AM6" s="103">
        <f ca="1">IFERROR(__xludf.DUMMYFUNCTION("""COMPUTED_VALUE"""),3)</f>
        <v>3</v>
      </c>
      <c r="AN6" s="103">
        <f ca="1">IFERROR(__xludf.DUMMYFUNCTION("""COMPUTED_VALUE"""),3)</f>
        <v>3</v>
      </c>
      <c r="AO6" s="103">
        <f ca="1">IFERROR(__xludf.DUMMYFUNCTION("""COMPUTED_VALUE"""),1)</f>
        <v>1</v>
      </c>
      <c r="AP6" s="103">
        <f ca="1">IFERROR(__xludf.DUMMYFUNCTION("""COMPUTED_VALUE"""),1)</f>
        <v>1</v>
      </c>
      <c r="AQ6" s="103">
        <f ca="1">IFERROR(__xludf.DUMMYFUNCTION("""COMPUTED_VALUE"""),1)</f>
        <v>1</v>
      </c>
      <c r="AR6" s="103">
        <f ca="1">IFERROR(__xludf.DUMMYFUNCTION("""COMPUTED_VALUE"""),1)</f>
        <v>1</v>
      </c>
      <c r="AS6" s="103">
        <f ca="1">IFERROR(__xludf.DUMMYFUNCTION("""COMPUTED_VALUE"""),0)</f>
        <v>0</v>
      </c>
      <c r="AT6" s="103">
        <f ca="1">IFERROR(__xludf.DUMMYFUNCTION("""COMPUTED_VALUE"""),0)</f>
        <v>0</v>
      </c>
      <c r="AU6" s="103">
        <f ca="1">IFERROR(__xludf.DUMMYFUNCTION("""COMPUTED_VALUE"""),0)</f>
        <v>0</v>
      </c>
      <c r="AV6" s="103">
        <f ca="1">IFERROR(__xludf.DUMMYFUNCTION("""COMPUTED_VALUE"""),0)</f>
        <v>0</v>
      </c>
      <c r="AW6" s="103">
        <f ca="1">IFERROR(__xludf.DUMMYFUNCTION("""COMPUTED_VALUE"""),0)</f>
        <v>0</v>
      </c>
      <c r="AX6" s="103">
        <f ca="1">IFERROR(__xludf.DUMMYFUNCTION("""COMPUTED_VALUE"""),0)</f>
        <v>0</v>
      </c>
      <c r="AY6" s="103">
        <f ca="1">IFERROR(__xludf.DUMMYFUNCTION("""COMPUTED_VALUE"""),0)</f>
        <v>0</v>
      </c>
      <c r="AZ6" s="103">
        <f ca="1">IFERROR(__xludf.DUMMYFUNCTION("""COMPUTED_VALUE"""),0)</f>
        <v>0</v>
      </c>
      <c r="BA6" s="103">
        <f ca="1">IFERROR(__xludf.DUMMYFUNCTION("""COMPUTED_VALUE"""),27)</f>
        <v>27</v>
      </c>
      <c r="BB6" s="103">
        <f ca="1">IFERROR(__xludf.DUMMYFUNCTION("""COMPUTED_VALUE"""),27)</f>
        <v>27</v>
      </c>
      <c r="BC6" s="103"/>
      <c r="BD6" s="103"/>
      <c r="BE6" s="103"/>
      <c r="BF6" s="103"/>
      <c r="BG6" s="103"/>
      <c r="BH6" s="10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  <c r="D7" s="107">
        <f ca="1">IFERROR(__xludf.DUMMYFUNCTION("""COMPUTED_VALUE"""),44467.0108619675)</f>
        <v>44467.010861967501</v>
      </c>
      <c r="E7" s="103" t="str">
        <f ca="1">IFERROR(__xludf.DUMMYFUNCTION("""COMPUTED_VALUE"""),"cyber@rtp.com")</f>
        <v>cyber@rtp.com</v>
      </c>
      <c r="F7" s="103" t="str">
        <f ca="1">IFERROR(__xludf.DUMMYFUNCTION("""COMPUTED_VALUE"""),"rtp2021")</f>
        <v>rtp2021</v>
      </c>
      <c r="G7" s="103"/>
      <c r="H7" s="103" t="str">
        <f ca="1">IFERROR(__xludf.DUMMYFUNCTION("""COMPUTED_VALUE"""),"บช.สอท.")</f>
        <v>บช.สอท.</v>
      </c>
      <c r="I7" s="103">
        <f ca="1">IFERROR(__xludf.DUMMYFUNCTION("""COMPUTED_VALUE"""),0)</f>
        <v>0</v>
      </c>
      <c r="J7" s="103">
        <f ca="1">IFERROR(__xludf.DUMMYFUNCTION("""COMPUTED_VALUE"""),0)</f>
        <v>0</v>
      </c>
      <c r="K7" s="103">
        <f ca="1">IFERROR(__xludf.DUMMYFUNCTION("""COMPUTED_VALUE"""),0)</f>
        <v>0</v>
      </c>
      <c r="L7" s="103">
        <f ca="1">IFERROR(__xludf.DUMMYFUNCTION("""COMPUTED_VALUE"""),0)</f>
        <v>0</v>
      </c>
      <c r="M7" s="103">
        <f ca="1">IFERROR(__xludf.DUMMYFUNCTION("""COMPUTED_VALUE"""),0)</f>
        <v>0</v>
      </c>
      <c r="N7" s="103">
        <f ca="1">IFERROR(__xludf.DUMMYFUNCTION("""COMPUTED_VALUE"""),0)</f>
        <v>0</v>
      </c>
      <c r="O7" s="103">
        <f ca="1">IFERROR(__xludf.DUMMYFUNCTION("""COMPUTED_VALUE"""),0)</f>
        <v>0</v>
      </c>
      <c r="P7" s="103">
        <f ca="1">IFERROR(__xludf.DUMMYFUNCTION("""COMPUTED_VALUE"""),0)</f>
        <v>0</v>
      </c>
      <c r="Q7" s="103">
        <f ca="1">IFERROR(__xludf.DUMMYFUNCTION("""COMPUTED_VALUE"""),1)</f>
        <v>1</v>
      </c>
      <c r="R7" s="103">
        <f ca="1">IFERROR(__xludf.DUMMYFUNCTION("""COMPUTED_VALUE"""),7)</f>
        <v>7</v>
      </c>
      <c r="S7" s="103">
        <f ca="1">IFERROR(__xludf.DUMMYFUNCTION("""COMPUTED_VALUE"""),2)</f>
        <v>2</v>
      </c>
      <c r="T7" s="103">
        <f ca="1">IFERROR(__xludf.DUMMYFUNCTION("""COMPUTED_VALUE"""),2)</f>
        <v>2</v>
      </c>
      <c r="U7" s="103">
        <f ca="1">IFERROR(__xludf.DUMMYFUNCTION("""COMPUTED_VALUE"""),0)</f>
        <v>0</v>
      </c>
      <c r="V7" s="103">
        <f ca="1">IFERROR(__xludf.DUMMYFUNCTION("""COMPUTED_VALUE"""),0)</f>
        <v>0</v>
      </c>
      <c r="W7" s="103">
        <f ca="1">IFERROR(__xludf.DUMMYFUNCTION("""COMPUTED_VALUE"""),0)</f>
        <v>0</v>
      </c>
      <c r="X7" s="103">
        <f ca="1">IFERROR(__xludf.DUMMYFUNCTION("""COMPUTED_VALUE"""),0)</f>
        <v>0</v>
      </c>
      <c r="Y7" s="103">
        <f ca="1">IFERROR(__xludf.DUMMYFUNCTION("""COMPUTED_VALUE"""),0)</f>
        <v>0</v>
      </c>
      <c r="Z7" s="103">
        <f ca="1">IFERROR(__xludf.DUMMYFUNCTION("""COMPUTED_VALUE"""),0)</f>
        <v>0</v>
      </c>
      <c r="AA7" s="103">
        <f ca="1">IFERROR(__xludf.DUMMYFUNCTION("""COMPUTED_VALUE"""),0)</f>
        <v>0</v>
      </c>
      <c r="AB7" s="103">
        <f ca="1">IFERROR(__xludf.DUMMYFUNCTION("""COMPUTED_VALUE"""),0)</f>
        <v>0</v>
      </c>
      <c r="AC7" s="103">
        <f ca="1">IFERROR(__xludf.DUMMYFUNCTION("""COMPUTED_VALUE"""),2)</f>
        <v>2</v>
      </c>
      <c r="AD7" s="103">
        <f ca="1">IFERROR(__xludf.DUMMYFUNCTION("""COMPUTED_VALUE"""),2)</f>
        <v>2</v>
      </c>
      <c r="AE7" s="103">
        <f ca="1">IFERROR(__xludf.DUMMYFUNCTION("""COMPUTED_VALUE"""),1)</f>
        <v>1</v>
      </c>
      <c r="AF7" s="103">
        <f ca="1">IFERROR(__xludf.DUMMYFUNCTION("""COMPUTED_VALUE"""),1)</f>
        <v>1</v>
      </c>
      <c r="AG7" s="103">
        <f ca="1">IFERROR(__xludf.DUMMYFUNCTION("""COMPUTED_VALUE"""),0)</f>
        <v>0</v>
      </c>
      <c r="AH7" s="103">
        <f ca="1">IFERROR(__xludf.DUMMYFUNCTION("""COMPUTED_VALUE"""),0)</f>
        <v>0</v>
      </c>
      <c r="AI7" s="103">
        <f ca="1">IFERROR(__xludf.DUMMYFUNCTION("""COMPUTED_VALUE"""),0)</f>
        <v>0</v>
      </c>
      <c r="AJ7" s="103">
        <f ca="1">IFERROR(__xludf.DUMMYFUNCTION("""COMPUTED_VALUE"""),0)</f>
        <v>0</v>
      </c>
      <c r="AK7" s="103">
        <f ca="1">IFERROR(__xludf.DUMMYFUNCTION("""COMPUTED_VALUE"""),0)</f>
        <v>0</v>
      </c>
      <c r="AL7" s="103">
        <f ca="1">IFERROR(__xludf.DUMMYFUNCTION("""COMPUTED_VALUE"""),0)</f>
        <v>0</v>
      </c>
      <c r="AM7" s="103">
        <f ca="1">IFERROR(__xludf.DUMMYFUNCTION("""COMPUTED_VALUE"""),0)</f>
        <v>0</v>
      </c>
      <c r="AN7" s="103">
        <f ca="1">IFERROR(__xludf.DUMMYFUNCTION("""COMPUTED_VALUE"""),0)</f>
        <v>0</v>
      </c>
      <c r="AO7" s="103">
        <f ca="1">IFERROR(__xludf.DUMMYFUNCTION("""COMPUTED_VALUE"""),0)</f>
        <v>0</v>
      </c>
      <c r="AP7" s="103">
        <f ca="1">IFERROR(__xludf.DUMMYFUNCTION("""COMPUTED_VALUE"""),0)</f>
        <v>0</v>
      </c>
      <c r="AQ7" s="103">
        <f ca="1">IFERROR(__xludf.DUMMYFUNCTION("""COMPUTED_VALUE"""),2)</f>
        <v>2</v>
      </c>
      <c r="AR7" s="103">
        <f ca="1">IFERROR(__xludf.DUMMYFUNCTION("""COMPUTED_VALUE"""),2)</f>
        <v>2</v>
      </c>
      <c r="AS7" s="103">
        <f ca="1">IFERROR(__xludf.DUMMYFUNCTION("""COMPUTED_VALUE"""),0)</f>
        <v>0</v>
      </c>
      <c r="AT7" s="103">
        <f ca="1">IFERROR(__xludf.DUMMYFUNCTION("""COMPUTED_VALUE"""),0)</f>
        <v>0</v>
      </c>
      <c r="AU7" s="103">
        <f ca="1">IFERROR(__xludf.DUMMYFUNCTION("""COMPUTED_VALUE"""),0)</f>
        <v>0</v>
      </c>
      <c r="AV7" s="103">
        <f ca="1">IFERROR(__xludf.DUMMYFUNCTION("""COMPUTED_VALUE"""),0)</f>
        <v>0</v>
      </c>
      <c r="AW7" s="103">
        <f ca="1">IFERROR(__xludf.DUMMYFUNCTION("""COMPUTED_VALUE"""),0)</f>
        <v>0</v>
      </c>
      <c r="AX7" s="103">
        <f ca="1">IFERROR(__xludf.DUMMYFUNCTION("""COMPUTED_VALUE"""),0)</f>
        <v>0</v>
      </c>
      <c r="AY7" s="103">
        <f ca="1">IFERROR(__xludf.DUMMYFUNCTION("""COMPUTED_VALUE"""),0)</f>
        <v>0</v>
      </c>
      <c r="AZ7" s="103">
        <f ca="1">IFERROR(__xludf.DUMMYFUNCTION("""COMPUTED_VALUE"""),0)</f>
        <v>0</v>
      </c>
      <c r="BA7" s="103">
        <f ca="1">IFERROR(__xludf.DUMMYFUNCTION("""COMPUTED_VALUE"""),60)</f>
        <v>60</v>
      </c>
      <c r="BB7" s="103">
        <f ca="1">IFERROR(__xludf.DUMMYFUNCTION("""COMPUTED_VALUE"""),60)</f>
        <v>60</v>
      </c>
      <c r="BC7" s="103"/>
      <c r="BD7" s="103"/>
      <c r="BE7" s="103"/>
      <c r="BF7" s="103"/>
      <c r="BG7" s="103"/>
      <c r="BH7" s="103"/>
    </row>
    <row r="8" spans="1:67" ht="12.75">
      <c r="A8" s="114" t="s">
        <v>25</v>
      </c>
      <c r="B8" s="115"/>
      <c r="C8" s="116"/>
      <c r="D8" s="107">
        <f ca="1">IFERROR(__xludf.DUMMYFUNCTION("""COMPUTED_VALUE"""),44468.0050841666)</f>
        <v>44468.005084166602</v>
      </c>
      <c r="E8" s="103" t="str">
        <f ca="1">IFERROR(__xludf.DUMMYFUNCTION("""COMPUTED_VALUE"""),"cyber@rtp.com")</f>
        <v>cyber@rtp.com</v>
      </c>
      <c r="F8" s="103" t="str">
        <f ca="1">IFERROR(__xludf.DUMMYFUNCTION("""COMPUTED_VALUE"""),"rtp2021")</f>
        <v>rtp2021</v>
      </c>
      <c r="G8" s="103"/>
      <c r="H8" s="103" t="str">
        <f ca="1">IFERROR(__xludf.DUMMYFUNCTION("""COMPUTED_VALUE"""),"บช.สอท.")</f>
        <v>บช.สอท.</v>
      </c>
      <c r="I8" s="103">
        <f ca="1">IFERROR(__xludf.DUMMYFUNCTION("""COMPUTED_VALUE"""),0)</f>
        <v>0</v>
      </c>
      <c r="J8" s="103">
        <f ca="1">IFERROR(__xludf.DUMMYFUNCTION("""COMPUTED_VALUE"""),0)</f>
        <v>0</v>
      </c>
      <c r="K8" s="103">
        <f ca="1">IFERROR(__xludf.DUMMYFUNCTION("""COMPUTED_VALUE"""),1)</f>
        <v>1</v>
      </c>
      <c r="L8" s="103">
        <f ca="1">IFERROR(__xludf.DUMMYFUNCTION("""COMPUTED_VALUE"""),1)</f>
        <v>1</v>
      </c>
      <c r="M8" s="103">
        <f ca="1">IFERROR(__xludf.DUMMYFUNCTION("""COMPUTED_VALUE"""),10)</f>
        <v>10</v>
      </c>
      <c r="N8" s="103">
        <f ca="1">IFERROR(__xludf.DUMMYFUNCTION("""COMPUTED_VALUE"""),10)</f>
        <v>10</v>
      </c>
      <c r="O8" s="103">
        <f ca="1">IFERROR(__xludf.DUMMYFUNCTION("""COMPUTED_VALUE"""),2)</f>
        <v>2</v>
      </c>
      <c r="P8" s="103">
        <f ca="1">IFERROR(__xludf.DUMMYFUNCTION("""COMPUTED_VALUE"""),2)</f>
        <v>2</v>
      </c>
      <c r="Q8" s="103">
        <f ca="1">IFERROR(__xludf.DUMMYFUNCTION("""COMPUTED_VALUE"""),1)</f>
        <v>1</v>
      </c>
      <c r="R8" s="103">
        <f ca="1">IFERROR(__xludf.DUMMYFUNCTION("""COMPUTED_VALUE"""),1)</f>
        <v>1</v>
      </c>
      <c r="S8" s="103">
        <f ca="1">IFERROR(__xludf.DUMMYFUNCTION("""COMPUTED_VALUE"""),3)</f>
        <v>3</v>
      </c>
      <c r="T8" s="103">
        <f ca="1">IFERROR(__xludf.DUMMYFUNCTION("""COMPUTED_VALUE"""),8)</f>
        <v>8</v>
      </c>
      <c r="U8" s="103">
        <f ca="1">IFERROR(__xludf.DUMMYFUNCTION("""COMPUTED_VALUE"""),1)</f>
        <v>1</v>
      </c>
      <c r="V8" s="103">
        <f ca="1">IFERROR(__xludf.DUMMYFUNCTION("""COMPUTED_VALUE"""),1)</f>
        <v>1</v>
      </c>
      <c r="W8" s="103">
        <f ca="1">IFERROR(__xludf.DUMMYFUNCTION("""COMPUTED_VALUE"""),0)</f>
        <v>0</v>
      </c>
      <c r="X8" s="103">
        <f ca="1">IFERROR(__xludf.DUMMYFUNCTION("""COMPUTED_VALUE"""),0)</f>
        <v>0</v>
      </c>
      <c r="Y8" s="103">
        <f ca="1">IFERROR(__xludf.DUMMYFUNCTION("""COMPUTED_VALUE"""),0)</f>
        <v>0</v>
      </c>
      <c r="Z8" s="103">
        <f ca="1">IFERROR(__xludf.DUMMYFUNCTION("""COMPUTED_VALUE"""),0)</f>
        <v>0</v>
      </c>
      <c r="AA8" s="103">
        <f ca="1">IFERROR(__xludf.DUMMYFUNCTION("""COMPUTED_VALUE"""),0)</f>
        <v>0</v>
      </c>
      <c r="AB8" s="103">
        <f ca="1">IFERROR(__xludf.DUMMYFUNCTION("""COMPUTED_VALUE"""),0)</f>
        <v>0</v>
      </c>
      <c r="AC8" s="103">
        <f ca="1">IFERROR(__xludf.DUMMYFUNCTION("""COMPUTED_VALUE"""),2)</f>
        <v>2</v>
      </c>
      <c r="AD8" s="103">
        <f ca="1">IFERROR(__xludf.DUMMYFUNCTION("""COMPUTED_VALUE"""),2)</f>
        <v>2</v>
      </c>
      <c r="AE8" s="103">
        <f ca="1">IFERROR(__xludf.DUMMYFUNCTION("""COMPUTED_VALUE"""),2)</f>
        <v>2</v>
      </c>
      <c r="AF8" s="103">
        <f ca="1">IFERROR(__xludf.DUMMYFUNCTION("""COMPUTED_VALUE"""),2)</f>
        <v>2</v>
      </c>
      <c r="AG8" s="103">
        <f ca="1">IFERROR(__xludf.DUMMYFUNCTION("""COMPUTED_VALUE"""),2)</f>
        <v>2</v>
      </c>
      <c r="AH8" s="103">
        <f ca="1">IFERROR(__xludf.DUMMYFUNCTION("""COMPUTED_VALUE"""),2)</f>
        <v>2</v>
      </c>
      <c r="AI8" s="103">
        <f ca="1">IFERROR(__xludf.DUMMYFUNCTION("""COMPUTED_VALUE"""),1)</f>
        <v>1</v>
      </c>
      <c r="AJ8" s="103">
        <f ca="1">IFERROR(__xludf.DUMMYFUNCTION("""COMPUTED_VALUE"""),1)</f>
        <v>1</v>
      </c>
      <c r="AK8" s="103">
        <f ca="1">IFERROR(__xludf.DUMMYFUNCTION("""COMPUTED_VALUE"""),0)</f>
        <v>0</v>
      </c>
      <c r="AL8" s="103">
        <f ca="1">IFERROR(__xludf.DUMMYFUNCTION("""COMPUTED_VALUE"""),0)</f>
        <v>0</v>
      </c>
      <c r="AM8" s="103">
        <f ca="1">IFERROR(__xludf.DUMMYFUNCTION("""COMPUTED_VALUE"""),3)</f>
        <v>3</v>
      </c>
      <c r="AN8" s="103">
        <f ca="1">IFERROR(__xludf.DUMMYFUNCTION("""COMPUTED_VALUE"""),7)</f>
        <v>7</v>
      </c>
      <c r="AO8" s="103">
        <f ca="1">IFERROR(__xludf.DUMMYFUNCTION("""COMPUTED_VALUE"""),0)</f>
        <v>0</v>
      </c>
      <c r="AP8" s="103">
        <f ca="1">IFERROR(__xludf.DUMMYFUNCTION("""COMPUTED_VALUE"""),0)</f>
        <v>0</v>
      </c>
      <c r="AQ8" s="103">
        <f ca="1">IFERROR(__xludf.DUMMYFUNCTION("""COMPUTED_VALUE"""),5)</f>
        <v>5</v>
      </c>
      <c r="AR8" s="103">
        <f ca="1">IFERROR(__xludf.DUMMYFUNCTION("""COMPUTED_VALUE"""),5)</f>
        <v>5</v>
      </c>
      <c r="AS8" s="103">
        <f ca="1">IFERROR(__xludf.DUMMYFUNCTION("""COMPUTED_VALUE"""),0)</f>
        <v>0</v>
      </c>
      <c r="AT8" s="103">
        <f ca="1">IFERROR(__xludf.DUMMYFUNCTION("""COMPUTED_VALUE"""),0)</f>
        <v>0</v>
      </c>
      <c r="AU8" s="103">
        <f ca="1">IFERROR(__xludf.DUMMYFUNCTION("""COMPUTED_VALUE"""),0)</f>
        <v>0</v>
      </c>
      <c r="AV8" s="103">
        <f ca="1">IFERROR(__xludf.DUMMYFUNCTION("""COMPUTED_VALUE"""),0)</f>
        <v>0</v>
      </c>
      <c r="AW8" s="103">
        <f ca="1">IFERROR(__xludf.DUMMYFUNCTION("""COMPUTED_VALUE"""),0)</f>
        <v>0</v>
      </c>
      <c r="AX8" s="103">
        <f ca="1">IFERROR(__xludf.DUMMYFUNCTION("""COMPUTED_VALUE"""),0)</f>
        <v>0</v>
      </c>
      <c r="AY8" s="103">
        <f ca="1">IFERROR(__xludf.DUMMYFUNCTION("""COMPUTED_VALUE"""),0)</f>
        <v>0</v>
      </c>
      <c r="AZ8" s="103">
        <f ca="1">IFERROR(__xludf.DUMMYFUNCTION("""COMPUTED_VALUE"""),0)</f>
        <v>0</v>
      </c>
      <c r="BA8" s="103">
        <f ca="1">IFERROR(__xludf.DUMMYFUNCTION("""COMPUTED_VALUE"""),54)</f>
        <v>54</v>
      </c>
      <c r="BB8" s="103">
        <f ca="1">IFERROR(__xludf.DUMMYFUNCTION("""COMPUTED_VALUE"""),54)</f>
        <v>54</v>
      </c>
      <c r="BC8" s="103"/>
      <c r="BD8" s="103"/>
      <c r="BE8" s="103"/>
      <c r="BF8" s="103"/>
      <c r="BG8" s="103"/>
      <c r="BH8" s="103"/>
    </row>
    <row r="9" spans="1:67" ht="12.75">
      <c r="A9" s="114" t="s">
        <v>26</v>
      </c>
      <c r="B9" s="115">
        <f t="shared" ref="B9:C9" ca="1" si="1">SUM(K:K)</f>
        <v>2</v>
      </c>
      <c r="C9" s="116">
        <f t="shared" ca="1" si="1"/>
        <v>2</v>
      </c>
      <c r="D9" s="107">
        <f ca="1">IFERROR(__xludf.DUMMYFUNCTION("""COMPUTED_VALUE"""),44469.0066277546)</f>
        <v>44469.006627754599</v>
      </c>
      <c r="E9" s="103" t="str">
        <f ca="1">IFERROR(__xludf.DUMMYFUNCTION("""COMPUTED_VALUE"""),"cyber@rtp.com")</f>
        <v>cyber@rtp.com</v>
      </c>
      <c r="F9" s="103" t="str">
        <f ca="1">IFERROR(__xludf.DUMMYFUNCTION("""COMPUTED_VALUE"""),"rtp2021")</f>
        <v>rtp2021</v>
      </c>
      <c r="G9" s="103"/>
      <c r="H9" s="103" t="str">
        <f ca="1">IFERROR(__xludf.DUMMYFUNCTION("""COMPUTED_VALUE"""),"บช.สอท.")</f>
        <v>บช.สอท.</v>
      </c>
      <c r="I9" s="103">
        <f ca="1">IFERROR(__xludf.DUMMYFUNCTION("""COMPUTED_VALUE"""),0)</f>
        <v>0</v>
      </c>
      <c r="J9" s="103">
        <f ca="1">IFERROR(__xludf.DUMMYFUNCTION("""COMPUTED_VALUE"""),0)</f>
        <v>0</v>
      </c>
      <c r="K9" s="103">
        <f ca="1">IFERROR(__xludf.DUMMYFUNCTION("""COMPUTED_VALUE"""),0)</f>
        <v>0</v>
      </c>
      <c r="L9" s="103">
        <f ca="1">IFERROR(__xludf.DUMMYFUNCTION("""COMPUTED_VALUE"""),0)</f>
        <v>0</v>
      </c>
      <c r="M9" s="103">
        <f ca="1">IFERROR(__xludf.DUMMYFUNCTION("""COMPUTED_VALUE"""),0)</f>
        <v>0</v>
      </c>
      <c r="N9" s="103">
        <f ca="1">IFERROR(__xludf.DUMMYFUNCTION("""COMPUTED_VALUE"""),0)</f>
        <v>0</v>
      </c>
      <c r="O9" s="103">
        <f ca="1">IFERROR(__xludf.DUMMYFUNCTION("""COMPUTED_VALUE"""),2)</f>
        <v>2</v>
      </c>
      <c r="P9" s="103">
        <f ca="1">IFERROR(__xludf.DUMMYFUNCTION("""COMPUTED_VALUE"""),2)</f>
        <v>2</v>
      </c>
      <c r="Q9" s="103">
        <f ca="1">IFERROR(__xludf.DUMMYFUNCTION("""COMPUTED_VALUE"""),1)</f>
        <v>1</v>
      </c>
      <c r="R9" s="103">
        <f ca="1">IFERROR(__xludf.DUMMYFUNCTION("""COMPUTED_VALUE"""),1)</f>
        <v>1</v>
      </c>
      <c r="S9" s="103">
        <f ca="1">IFERROR(__xludf.DUMMYFUNCTION("""COMPUTED_VALUE"""),0)</f>
        <v>0</v>
      </c>
      <c r="T9" s="103">
        <f ca="1">IFERROR(__xludf.DUMMYFUNCTION("""COMPUTED_VALUE"""),0)</f>
        <v>0</v>
      </c>
      <c r="U9" s="103">
        <f ca="1">IFERROR(__xludf.DUMMYFUNCTION("""COMPUTED_VALUE"""),0)</f>
        <v>0</v>
      </c>
      <c r="V9" s="103">
        <f ca="1">IFERROR(__xludf.DUMMYFUNCTION("""COMPUTED_VALUE"""),0)</f>
        <v>0</v>
      </c>
      <c r="W9" s="103">
        <f ca="1">IFERROR(__xludf.DUMMYFUNCTION("""COMPUTED_VALUE"""),0)</f>
        <v>0</v>
      </c>
      <c r="X9" s="103">
        <f ca="1">IFERROR(__xludf.DUMMYFUNCTION("""COMPUTED_VALUE"""),0)</f>
        <v>0</v>
      </c>
      <c r="Y9" s="103">
        <f ca="1">IFERROR(__xludf.DUMMYFUNCTION("""COMPUTED_VALUE"""),0)</f>
        <v>0</v>
      </c>
      <c r="Z9" s="103">
        <f ca="1">IFERROR(__xludf.DUMMYFUNCTION("""COMPUTED_VALUE"""),0)</f>
        <v>0</v>
      </c>
      <c r="AA9" s="103">
        <f ca="1">IFERROR(__xludf.DUMMYFUNCTION("""COMPUTED_VALUE"""),0)</f>
        <v>0</v>
      </c>
      <c r="AB9" s="103">
        <f ca="1">IFERROR(__xludf.DUMMYFUNCTION("""COMPUTED_VALUE"""),0)</f>
        <v>0</v>
      </c>
      <c r="AC9" s="103">
        <f ca="1">IFERROR(__xludf.DUMMYFUNCTION("""COMPUTED_VALUE"""),1)</f>
        <v>1</v>
      </c>
      <c r="AD9" s="103">
        <f ca="1">IFERROR(__xludf.DUMMYFUNCTION("""COMPUTED_VALUE"""),1)</f>
        <v>1</v>
      </c>
      <c r="AE9" s="103">
        <f ca="1">IFERROR(__xludf.DUMMYFUNCTION("""COMPUTED_VALUE"""),0)</f>
        <v>0</v>
      </c>
      <c r="AF9" s="103">
        <f ca="1">IFERROR(__xludf.DUMMYFUNCTION("""COMPUTED_VALUE"""),0)</f>
        <v>0</v>
      </c>
      <c r="AG9" s="103">
        <f ca="1">IFERROR(__xludf.DUMMYFUNCTION("""COMPUTED_VALUE"""),1)</f>
        <v>1</v>
      </c>
      <c r="AH9" s="103">
        <f ca="1">IFERROR(__xludf.DUMMYFUNCTION("""COMPUTED_VALUE"""),1)</f>
        <v>1</v>
      </c>
      <c r="AI9" s="103">
        <f ca="1">IFERROR(__xludf.DUMMYFUNCTION("""COMPUTED_VALUE"""),0)</f>
        <v>0</v>
      </c>
      <c r="AJ9" s="103">
        <f ca="1">IFERROR(__xludf.DUMMYFUNCTION("""COMPUTED_VALUE"""),0)</f>
        <v>0</v>
      </c>
      <c r="AK9" s="103">
        <f ca="1">IFERROR(__xludf.DUMMYFUNCTION("""COMPUTED_VALUE"""),0)</f>
        <v>0</v>
      </c>
      <c r="AL9" s="103">
        <f ca="1">IFERROR(__xludf.DUMMYFUNCTION("""COMPUTED_VALUE"""),0)</f>
        <v>0</v>
      </c>
      <c r="AM9" s="103">
        <f ca="1">IFERROR(__xludf.DUMMYFUNCTION("""COMPUTED_VALUE"""),1)</f>
        <v>1</v>
      </c>
      <c r="AN9" s="103">
        <f ca="1">IFERROR(__xludf.DUMMYFUNCTION("""COMPUTED_VALUE"""),1)</f>
        <v>1</v>
      </c>
      <c r="AO9" s="103">
        <f ca="1">IFERROR(__xludf.DUMMYFUNCTION("""COMPUTED_VALUE"""),0)</f>
        <v>0</v>
      </c>
      <c r="AP9" s="103">
        <f ca="1">IFERROR(__xludf.DUMMYFUNCTION("""COMPUTED_VALUE"""),0)</f>
        <v>0</v>
      </c>
      <c r="AQ9" s="103">
        <f ca="1">IFERROR(__xludf.DUMMYFUNCTION("""COMPUTED_VALUE"""),3)</f>
        <v>3</v>
      </c>
      <c r="AR9" s="103">
        <f ca="1">IFERROR(__xludf.DUMMYFUNCTION("""COMPUTED_VALUE"""),3)</f>
        <v>3</v>
      </c>
      <c r="AS9" s="103">
        <f ca="1">IFERROR(__xludf.DUMMYFUNCTION("""COMPUTED_VALUE"""),0)</f>
        <v>0</v>
      </c>
      <c r="AT9" s="103">
        <f ca="1">IFERROR(__xludf.DUMMYFUNCTION("""COMPUTED_VALUE"""),0)</f>
        <v>0</v>
      </c>
      <c r="AU9" s="103">
        <f ca="1">IFERROR(__xludf.DUMMYFUNCTION("""COMPUTED_VALUE"""),0)</f>
        <v>0</v>
      </c>
      <c r="AV9" s="103">
        <f ca="1">IFERROR(__xludf.DUMMYFUNCTION("""COMPUTED_VALUE"""),0)</f>
        <v>0</v>
      </c>
      <c r="AW9" s="103">
        <f ca="1">IFERROR(__xludf.DUMMYFUNCTION("""COMPUTED_VALUE"""),0)</f>
        <v>0</v>
      </c>
      <c r="AX9" s="103">
        <f ca="1">IFERROR(__xludf.DUMMYFUNCTION("""COMPUTED_VALUE"""),0)</f>
        <v>0</v>
      </c>
      <c r="AY9" s="103">
        <f ca="1">IFERROR(__xludf.DUMMYFUNCTION("""COMPUTED_VALUE"""),0)</f>
        <v>0</v>
      </c>
      <c r="AZ9" s="103">
        <f ca="1">IFERROR(__xludf.DUMMYFUNCTION("""COMPUTED_VALUE"""),0)</f>
        <v>0</v>
      </c>
      <c r="BA9" s="103">
        <f ca="1">IFERROR(__xludf.DUMMYFUNCTION("""COMPUTED_VALUE"""),38)</f>
        <v>38</v>
      </c>
      <c r="BB9" s="103">
        <f ca="1">IFERROR(__xludf.DUMMYFUNCTION("""COMPUTED_VALUE"""),38)</f>
        <v>38</v>
      </c>
      <c r="BC9" s="103"/>
      <c r="BD9" s="103"/>
      <c r="BE9" s="103"/>
      <c r="BF9" s="103"/>
      <c r="BG9" s="103"/>
      <c r="BH9" s="103"/>
    </row>
    <row r="10" spans="1:67" ht="12.75">
      <c r="A10" s="114" t="s">
        <v>27</v>
      </c>
      <c r="B10" s="115">
        <f t="shared" ref="B10:C10" ca="1" si="2">SUM(M:M)</f>
        <v>17</v>
      </c>
      <c r="C10" s="116">
        <f t="shared" ca="1" si="2"/>
        <v>17</v>
      </c>
      <c r="D10" s="107">
        <f ca="1">IFERROR(__xludf.DUMMYFUNCTION("""COMPUTED_VALUE"""),44470.0204472338)</f>
        <v>44470.020447233801</v>
      </c>
      <c r="E10" s="103" t="str">
        <f ca="1">IFERROR(__xludf.DUMMYFUNCTION("""COMPUTED_VALUE"""),"cyber@rtp.com")</f>
        <v>cyber@rtp.com</v>
      </c>
      <c r="F10" s="103" t="str">
        <f ca="1">IFERROR(__xludf.DUMMYFUNCTION("""COMPUTED_VALUE"""),"rtp2021")</f>
        <v>rtp2021</v>
      </c>
      <c r="G10" s="103"/>
      <c r="H10" s="103" t="str">
        <f ca="1">IFERROR(__xludf.DUMMYFUNCTION("""COMPUTED_VALUE"""),"บช.สอท.")</f>
        <v>บช.สอท.</v>
      </c>
      <c r="I10" s="103">
        <f ca="1">IFERROR(__xludf.DUMMYFUNCTION("""COMPUTED_VALUE"""),0)</f>
        <v>0</v>
      </c>
      <c r="J10" s="103">
        <f ca="1">IFERROR(__xludf.DUMMYFUNCTION("""COMPUTED_VALUE"""),0)</f>
        <v>0</v>
      </c>
      <c r="K10" s="103">
        <f ca="1">IFERROR(__xludf.DUMMYFUNCTION("""COMPUTED_VALUE"""),0)</f>
        <v>0</v>
      </c>
      <c r="L10" s="103">
        <f ca="1">IFERROR(__xludf.DUMMYFUNCTION("""COMPUTED_VALUE"""),0)</f>
        <v>0</v>
      </c>
      <c r="M10" s="103">
        <f ca="1">IFERROR(__xludf.DUMMYFUNCTION("""COMPUTED_VALUE"""),0)</f>
        <v>0</v>
      </c>
      <c r="N10" s="103">
        <f ca="1">IFERROR(__xludf.DUMMYFUNCTION("""COMPUTED_VALUE"""),0)</f>
        <v>0</v>
      </c>
      <c r="O10" s="103">
        <f ca="1">IFERROR(__xludf.DUMMYFUNCTION("""COMPUTED_VALUE"""),1)</f>
        <v>1</v>
      </c>
      <c r="P10" s="103">
        <f ca="1">IFERROR(__xludf.DUMMYFUNCTION("""COMPUTED_VALUE"""),5)</f>
        <v>5</v>
      </c>
      <c r="Q10" s="103">
        <f ca="1">IFERROR(__xludf.DUMMYFUNCTION("""COMPUTED_VALUE"""),1)</f>
        <v>1</v>
      </c>
      <c r="R10" s="103">
        <f ca="1">IFERROR(__xludf.DUMMYFUNCTION("""COMPUTED_VALUE"""),1)</f>
        <v>1</v>
      </c>
      <c r="S10" s="103">
        <f ca="1">IFERROR(__xludf.DUMMYFUNCTION("""COMPUTED_VALUE"""),2)</f>
        <v>2</v>
      </c>
      <c r="T10" s="103">
        <f ca="1">IFERROR(__xludf.DUMMYFUNCTION("""COMPUTED_VALUE"""),7)</f>
        <v>7</v>
      </c>
      <c r="U10" s="103">
        <f ca="1">IFERROR(__xludf.DUMMYFUNCTION("""COMPUTED_VALUE"""),0)</f>
        <v>0</v>
      </c>
      <c r="V10" s="103">
        <f ca="1">IFERROR(__xludf.DUMMYFUNCTION("""COMPUTED_VALUE"""),0)</f>
        <v>0</v>
      </c>
      <c r="W10" s="103">
        <f ca="1">IFERROR(__xludf.DUMMYFUNCTION("""COMPUTED_VALUE"""),0)</f>
        <v>0</v>
      </c>
      <c r="X10" s="103">
        <f ca="1">IFERROR(__xludf.DUMMYFUNCTION("""COMPUTED_VALUE"""),0)</f>
        <v>0</v>
      </c>
      <c r="Y10" s="103">
        <f ca="1">IFERROR(__xludf.DUMMYFUNCTION("""COMPUTED_VALUE"""),0)</f>
        <v>0</v>
      </c>
      <c r="Z10" s="103">
        <f ca="1">IFERROR(__xludf.DUMMYFUNCTION("""COMPUTED_VALUE"""),0)</f>
        <v>0</v>
      </c>
      <c r="AA10" s="103">
        <f ca="1">IFERROR(__xludf.DUMMYFUNCTION("""COMPUTED_VALUE"""),0)</f>
        <v>0</v>
      </c>
      <c r="AB10" s="103">
        <f ca="1">IFERROR(__xludf.DUMMYFUNCTION("""COMPUTED_VALUE"""),0)</f>
        <v>0</v>
      </c>
      <c r="AC10" s="103">
        <f ca="1">IFERROR(__xludf.DUMMYFUNCTION("""COMPUTED_VALUE"""),0)</f>
        <v>0</v>
      </c>
      <c r="AD10" s="103">
        <f ca="1">IFERROR(__xludf.DUMMYFUNCTION("""COMPUTED_VALUE"""),0)</f>
        <v>0</v>
      </c>
      <c r="AE10" s="103">
        <f ca="1">IFERROR(__xludf.DUMMYFUNCTION("""COMPUTED_VALUE"""),1)</f>
        <v>1</v>
      </c>
      <c r="AF10" s="103">
        <f ca="1">IFERROR(__xludf.DUMMYFUNCTION("""COMPUTED_VALUE"""),1)</f>
        <v>1</v>
      </c>
      <c r="AG10" s="103">
        <f ca="1">IFERROR(__xludf.DUMMYFUNCTION("""COMPUTED_VALUE"""),4)</f>
        <v>4</v>
      </c>
      <c r="AH10" s="103">
        <f ca="1">IFERROR(__xludf.DUMMYFUNCTION("""COMPUTED_VALUE"""),4)</f>
        <v>4</v>
      </c>
      <c r="AI10" s="103">
        <f ca="1">IFERROR(__xludf.DUMMYFUNCTION("""COMPUTED_VALUE"""),0)</f>
        <v>0</v>
      </c>
      <c r="AJ10" s="103">
        <f ca="1">IFERROR(__xludf.DUMMYFUNCTION("""COMPUTED_VALUE"""),0)</f>
        <v>0</v>
      </c>
      <c r="AK10" s="103">
        <f ca="1">IFERROR(__xludf.DUMMYFUNCTION("""COMPUTED_VALUE"""),0)</f>
        <v>0</v>
      </c>
      <c r="AL10" s="103">
        <f ca="1">IFERROR(__xludf.DUMMYFUNCTION("""COMPUTED_VALUE"""),0)</f>
        <v>0</v>
      </c>
      <c r="AM10" s="103">
        <f ca="1">IFERROR(__xludf.DUMMYFUNCTION("""COMPUTED_VALUE"""),0)</f>
        <v>0</v>
      </c>
      <c r="AN10" s="103">
        <f ca="1">IFERROR(__xludf.DUMMYFUNCTION("""COMPUTED_VALUE"""),0)</f>
        <v>0</v>
      </c>
      <c r="AO10" s="103">
        <f ca="1">IFERROR(__xludf.DUMMYFUNCTION("""COMPUTED_VALUE"""),0)</f>
        <v>0</v>
      </c>
      <c r="AP10" s="103">
        <f ca="1">IFERROR(__xludf.DUMMYFUNCTION("""COMPUTED_VALUE"""),0)</f>
        <v>0</v>
      </c>
      <c r="AQ10" s="103">
        <f ca="1">IFERROR(__xludf.DUMMYFUNCTION("""COMPUTED_VALUE"""),4)</f>
        <v>4</v>
      </c>
      <c r="AR10" s="103">
        <f ca="1">IFERROR(__xludf.DUMMYFUNCTION("""COMPUTED_VALUE"""),4)</f>
        <v>4</v>
      </c>
      <c r="AS10" s="103">
        <f ca="1">IFERROR(__xludf.DUMMYFUNCTION("""COMPUTED_VALUE"""),0)</f>
        <v>0</v>
      </c>
      <c r="AT10" s="103">
        <f ca="1">IFERROR(__xludf.DUMMYFUNCTION("""COMPUTED_VALUE"""),0)</f>
        <v>0</v>
      </c>
      <c r="AU10" s="103">
        <f ca="1">IFERROR(__xludf.DUMMYFUNCTION("""COMPUTED_VALUE"""),0)</f>
        <v>0</v>
      </c>
      <c r="AV10" s="103">
        <f ca="1">IFERROR(__xludf.DUMMYFUNCTION("""COMPUTED_VALUE"""),0)</f>
        <v>0</v>
      </c>
      <c r="AW10" s="103">
        <f ca="1">IFERROR(__xludf.DUMMYFUNCTION("""COMPUTED_VALUE"""),0)</f>
        <v>0</v>
      </c>
      <c r="AX10" s="103">
        <f ca="1">IFERROR(__xludf.DUMMYFUNCTION("""COMPUTED_VALUE"""),0)</f>
        <v>0</v>
      </c>
      <c r="AY10" s="103">
        <f ca="1">IFERROR(__xludf.DUMMYFUNCTION("""COMPUTED_VALUE"""),0)</f>
        <v>0</v>
      </c>
      <c r="AZ10" s="103">
        <f ca="1">IFERROR(__xludf.DUMMYFUNCTION("""COMPUTED_VALUE"""),0)</f>
        <v>0</v>
      </c>
      <c r="BA10" s="103">
        <f ca="1">IFERROR(__xludf.DUMMYFUNCTION("""COMPUTED_VALUE"""),41)</f>
        <v>41</v>
      </c>
      <c r="BB10" s="103">
        <f ca="1">IFERROR(__xludf.DUMMYFUNCTION("""COMPUTED_VALUE"""),41)</f>
        <v>41</v>
      </c>
      <c r="BC10" s="103"/>
      <c r="BD10" s="103"/>
      <c r="BE10" s="103"/>
      <c r="BF10" s="103"/>
      <c r="BG10" s="103"/>
      <c r="BH10" s="103"/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6</v>
      </c>
      <c r="C12" s="116">
        <f t="shared" ca="1" si="3"/>
        <v>10</v>
      </c>
    </row>
    <row r="13" spans="1:67" ht="12.75">
      <c r="A13" s="114" t="s">
        <v>30</v>
      </c>
      <c r="B13" s="115">
        <f t="shared" ref="B13:C13" ca="1" si="4">SUM(Q:Q)</f>
        <v>14</v>
      </c>
      <c r="C13" s="116">
        <f t="shared" ca="1" si="4"/>
        <v>20</v>
      </c>
    </row>
    <row r="14" spans="1:67" ht="12.75">
      <c r="A14" s="114" t="s">
        <v>31</v>
      </c>
      <c r="B14" s="115">
        <f t="shared" ref="B14:C14" ca="1" si="5">SUM(S:S)</f>
        <v>10</v>
      </c>
      <c r="C14" s="116">
        <f t="shared" ca="1" si="5"/>
        <v>20</v>
      </c>
    </row>
    <row r="15" spans="1:67" ht="12.75">
      <c r="A15" s="117" t="s">
        <v>32</v>
      </c>
      <c r="B15" s="118">
        <f t="shared" ref="B15:C15" ca="1" si="6">SUM(B6:B14)</f>
        <v>49</v>
      </c>
      <c r="C15" s="119">
        <f t="shared" ca="1" si="6"/>
        <v>69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2</v>
      </c>
      <c r="C17" s="116">
        <f t="shared" ca="1" si="7"/>
        <v>2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0</v>
      </c>
      <c r="C20" s="116">
        <f t="shared" ca="1" si="10"/>
        <v>0</v>
      </c>
    </row>
    <row r="21" spans="1:3" ht="12.75">
      <c r="A21" s="114" t="s">
        <v>38</v>
      </c>
      <c r="B21" s="115">
        <f t="shared" ref="B21:C21" ca="1" si="11">SUM(AC:AC)</f>
        <v>10</v>
      </c>
      <c r="C21" s="116">
        <f t="shared" ca="1" si="11"/>
        <v>11</v>
      </c>
    </row>
    <row r="22" spans="1:3" ht="12.75">
      <c r="A22" s="114" t="s">
        <v>39</v>
      </c>
      <c r="B22" s="115">
        <f t="shared" ref="B22:C22" ca="1" si="12">SUM(AE:AE)</f>
        <v>5</v>
      </c>
      <c r="C22" s="116">
        <f t="shared" ca="1" si="12"/>
        <v>5</v>
      </c>
    </row>
    <row r="23" spans="1:3" ht="12.75">
      <c r="A23" s="114" t="s">
        <v>40</v>
      </c>
      <c r="B23" s="115">
        <f t="shared" ref="B23:C23" ca="1" si="13">SUM(AG:AG)</f>
        <v>9</v>
      </c>
      <c r="C23" s="116">
        <f t="shared" ca="1" si="13"/>
        <v>10</v>
      </c>
    </row>
    <row r="24" spans="1:3" ht="12.75">
      <c r="A24" s="117" t="s">
        <v>32</v>
      </c>
      <c r="B24" s="118">
        <f t="shared" ref="B24:C24" ca="1" si="14">SUM(B17:B23)</f>
        <v>26</v>
      </c>
      <c r="C24" s="119">
        <f t="shared" ca="1" si="14"/>
        <v>28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1</v>
      </c>
      <c r="C26" s="116">
        <f t="shared" ca="1" si="15"/>
        <v>1</v>
      </c>
    </row>
    <row r="27" spans="1:3" ht="12.75">
      <c r="A27" s="114" t="s">
        <v>43</v>
      </c>
      <c r="B27" s="115">
        <f t="shared" ref="B27:C27" ca="1" si="16">SUM(AK:AK)</f>
        <v>0</v>
      </c>
      <c r="C27" s="116">
        <f t="shared" ca="1" si="16"/>
        <v>0</v>
      </c>
    </row>
    <row r="28" spans="1:3" ht="12.75">
      <c r="A28" s="114" t="s">
        <v>44</v>
      </c>
      <c r="B28" s="115">
        <f t="shared" ref="B28:C28" ca="1" si="17">SUM(AM:AM)</f>
        <v>7</v>
      </c>
      <c r="C28" s="116">
        <f t="shared" ca="1" si="17"/>
        <v>11</v>
      </c>
    </row>
    <row r="29" spans="1:3" ht="12.75">
      <c r="A29" s="117" t="s">
        <v>32</v>
      </c>
      <c r="B29" s="118">
        <f t="shared" ref="B29:C29" ca="1" si="18">SUM(B26:B28)</f>
        <v>8</v>
      </c>
      <c r="C29" s="119">
        <f t="shared" ca="1" si="18"/>
        <v>12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1</v>
      </c>
      <c r="C31" s="116">
        <f t="shared" ca="1" si="19"/>
        <v>1</v>
      </c>
    </row>
    <row r="32" spans="1:3" ht="12.75">
      <c r="A32" s="114" t="s">
        <v>47</v>
      </c>
      <c r="B32" s="115">
        <f t="shared" ref="B32:C32" ca="1" si="20">SUM(AQ:AQ)</f>
        <v>16</v>
      </c>
      <c r="C32" s="116">
        <f t="shared" ca="1" si="20"/>
        <v>16</v>
      </c>
    </row>
    <row r="33" spans="1:67" ht="12.75">
      <c r="A33" s="114" t="s">
        <v>48</v>
      </c>
      <c r="B33" s="115">
        <f t="shared" ref="B33:C33" ca="1" si="21">SUM(AS:AS)</f>
        <v>0</v>
      </c>
      <c r="C33" s="116">
        <f t="shared" ca="1" si="21"/>
        <v>0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0</v>
      </c>
      <c r="C35" s="116">
        <f t="shared" ca="1" si="23"/>
        <v>0</v>
      </c>
    </row>
    <row r="36" spans="1:67" ht="12.75">
      <c r="A36" s="117" t="s">
        <v>32</v>
      </c>
      <c r="B36" s="118">
        <f t="shared" ref="B36:C36" ca="1" si="24">SUM(B31:B35)</f>
        <v>17</v>
      </c>
      <c r="C36" s="119">
        <f t="shared" ca="1" si="24"/>
        <v>17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315</v>
      </c>
      <c r="C38" s="124">
        <f t="shared" ca="1" si="26"/>
        <v>315</v>
      </c>
    </row>
    <row r="39" spans="1:67" ht="15">
      <c r="A39" s="126" t="s">
        <v>20</v>
      </c>
      <c r="B39" s="127">
        <f t="shared" ref="B39:C39" ca="1" si="27">SUM(B15,B24,B29,B36,B37,B38)</f>
        <v>415</v>
      </c>
      <c r="C39" s="128">
        <f t="shared" ca="1" si="27"/>
        <v>441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/>
      <c r="C2" s="102" t="s">
        <v>72</v>
      </c>
      <c r="D2" s="103" t="str">
        <f ca="1">IFERROR(__xludf.DUMMYFUNCTION("QUERY('Form Responses 1'!A:BE,""select * where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12</v>
      </c>
      <c r="B3" s="105" t="s">
        <v>73</v>
      </c>
      <c r="C3" s="106" t="s">
        <v>73</v>
      </c>
      <c r="D3" s="107">
        <f ca="1">IFERROR(__xludf.DUMMYFUNCTION("""COMPUTED_VALUE"""),44463.75)</f>
        <v>44463.75</v>
      </c>
      <c r="E3" s="103" t="str">
        <f ca="1">IFERROR(__xludf.DUMMYFUNCTION("""COMPUTED_VALUE"""),"drug@rtp.com")</f>
        <v>drug@rtp.com</v>
      </c>
      <c r="F3" s="108" t="str">
        <f ca="1">IFERROR(__xludf.DUMMYFUNCTION("""COMPUTED_VALUE"""),"rtp2021")</f>
        <v>rtp2021</v>
      </c>
      <c r="G3" s="103"/>
      <c r="H3" s="108" t="str">
        <f ca="1">IFERROR(__xludf.DUMMYFUNCTION("""COMPUTED_VALUE"""),"บช.ปส.")</f>
        <v>บช.ปส.</v>
      </c>
      <c r="I3" s="108">
        <f ca="1">IFERROR(__xludf.DUMMYFUNCTION("""COMPUTED_VALUE"""),0)</f>
        <v>0</v>
      </c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>
        <f ca="1">IFERROR(__xludf.DUMMYFUNCTION("""COMPUTED_VALUE"""),1)</f>
        <v>1</v>
      </c>
      <c r="AD3" s="108">
        <f ca="1">IFERROR(__xludf.DUMMYFUNCTION("""COMPUTED_VALUE"""),1)</f>
        <v>1</v>
      </c>
      <c r="AE3" s="108"/>
      <c r="AF3" s="108"/>
      <c r="AG3" s="108">
        <f ca="1">IFERROR(__xludf.DUMMYFUNCTION("""COMPUTED_VALUE"""),1)</f>
        <v>1</v>
      </c>
      <c r="AH3" s="108">
        <f ca="1">IFERROR(__xludf.DUMMYFUNCTION("""COMPUTED_VALUE"""),1)</f>
        <v>1</v>
      </c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>
        <f ca="1">IFERROR(__xludf.DUMMYFUNCTION("""COMPUTED_VALUE"""),1)</f>
        <v>1</v>
      </c>
      <c r="BB3" s="108">
        <f ca="1">IFERROR(__xludf.DUMMYFUNCTION("""COMPUTED_VALUE"""),1)</f>
        <v>1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  <c r="D4" s="107">
        <f ca="1">IFERROR(__xludf.DUMMYFUNCTION("""COMPUTED_VALUE"""),44464.3096074884)</f>
        <v>44464.309607488402</v>
      </c>
      <c r="E4" s="103" t="str">
        <f ca="1">IFERROR(__xludf.DUMMYFUNCTION("""COMPUTED_VALUE"""),"drug@rtp.com")</f>
        <v>drug@rtp.com</v>
      </c>
      <c r="F4" s="103" t="str">
        <f ca="1">IFERROR(__xludf.DUMMYFUNCTION("""COMPUTED_VALUE"""),"rtp2021")</f>
        <v>rtp2021</v>
      </c>
      <c r="G4" s="103"/>
      <c r="H4" s="103" t="str">
        <f ca="1">IFERROR(__xludf.DUMMYFUNCTION("""COMPUTED_VALUE"""),"บช.ปส.")</f>
        <v>บช.ปส.</v>
      </c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>
        <f ca="1">IFERROR(__xludf.DUMMYFUNCTION("""COMPUTED_VALUE"""),1)</f>
        <v>1</v>
      </c>
      <c r="AD4" s="103">
        <f ca="1">IFERROR(__xludf.DUMMYFUNCTION("""COMPUTED_VALUE"""),0)</f>
        <v>0</v>
      </c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>
        <f ca="1">IFERROR(__xludf.DUMMYFUNCTION("""COMPUTED_VALUE"""),9)</f>
        <v>9</v>
      </c>
      <c r="BB4" s="103">
        <f ca="1">IFERROR(__xludf.DUMMYFUNCTION("""COMPUTED_VALUE"""),9)</f>
        <v>9</v>
      </c>
      <c r="BC4" s="103"/>
      <c r="BD4" s="103"/>
      <c r="BE4" s="103"/>
      <c r="BF4" s="103"/>
      <c r="BG4" s="103"/>
      <c r="BH4" s="103"/>
    </row>
    <row r="5" spans="1:67" ht="12.75">
      <c r="A5" s="638"/>
      <c r="B5" s="109" t="s">
        <v>21</v>
      </c>
      <c r="C5" s="110" t="s">
        <v>22</v>
      </c>
      <c r="D5" s="107">
        <f ca="1">IFERROR(__xludf.DUMMYFUNCTION("""COMPUTED_VALUE"""),44465.0468326851)</f>
        <v>44465.046832685097</v>
      </c>
      <c r="E5" s="103" t="str">
        <f ca="1">IFERROR(__xludf.DUMMYFUNCTION("""COMPUTED_VALUE"""),"drug@rtp.com")</f>
        <v>drug@rtp.com</v>
      </c>
      <c r="F5" s="103" t="str">
        <f ca="1">IFERROR(__xludf.DUMMYFUNCTION("""COMPUTED_VALUE"""),"rtp2021")</f>
        <v>rtp2021</v>
      </c>
      <c r="G5" s="103"/>
      <c r="H5" s="103" t="str">
        <f ca="1">IFERROR(__xludf.DUMMYFUNCTION("""COMPUTED_VALUE"""),"บช.ปส.")</f>
        <v>บช.ปส.</v>
      </c>
      <c r="I5" s="103">
        <f ca="1">IFERROR(__xludf.DUMMYFUNCTION("""COMPUTED_VALUE"""),0)</f>
        <v>0</v>
      </c>
      <c r="J5" s="103">
        <f ca="1">IFERROR(__xludf.DUMMYFUNCTION("""COMPUTED_VALUE"""),0)</f>
        <v>0</v>
      </c>
      <c r="K5" s="103">
        <f ca="1">IFERROR(__xludf.DUMMYFUNCTION("""COMPUTED_VALUE"""),0)</f>
        <v>0</v>
      </c>
      <c r="L5" s="103">
        <f ca="1">IFERROR(__xludf.DUMMYFUNCTION("""COMPUTED_VALUE"""),0)</f>
        <v>0</v>
      </c>
      <c r="M5" s="103">
        <f ca="1">IFERROR(__xludf.DUMMYFUNCTION("""COMPUTED_VALUE"""),0)</f>
        <v>0</v>
      </c>
      <c r="N5" s="103">
        <f ca="1">IFERROR(__xludf.DUMMYFUNCTION("""COMPUTED_VALUE"""),0)</f>
        <v>0</v>
      </c>
      <c r="O5" s="103">
        <f ca="1">IFERROR(__xludf.DUMMYFUNCTION("""COMPUTED_VALUE"""),0)</f>
        <v>0</v>
      </c>
      <c r="P5" s="103">
        <f ca="1">IFERROR(__xludf.DUMMYFUNCTION("""COMPUTED_VALUE"""),0)</f>
        <v>0</v>
      </c>
      <c r="Q5" s="103">
        <f ca="1">IFERROR(__xludf.DUMMYFUNCTION("""COMPUTED_VALUE"""),0)</f>
        <v>0</v>
      </c>
      <c r="R5" s="103">
        <f ca="1">IFERROR(__xludf.DUMMYFUNCTION("""COMPUTED_VALUE"""),0)</f>
        <v>0</v>
      </c>
      <c r="S5" s="103">
        <f ca="1">IFERROR(__xludf.DUMMYFUNCTION("""COMPUTED_VALUE"""),0)</f>
        <v>0</v>
      </c>
      <c r="T5" s="103">
        <f ca="1">IFERROR(__xludf.DUMMYFUNCTION("""COMPUTED_VALUE"""),0)</f>
        <v>0</v>
      </c>
      <c r="U5" s="103">
        <f ca="1">IFERROR(__xludf.DUMMYFUNCTION("""COMPUTED_VALUE"""),0)</f>
        <v>0</v>
      </c>
      <c r="V5" s="103">
        <f ca="1">IFERROR(__xludf.DUMMYFUNCTION("""COMPUTED_VALUE"""),0)</f>
        <v>0</v>
      </c>
      <c r="W5" s="103">
        <f ca="1">IFERROR(__xludf.DUMMYFUNCTION("""COMPUTED_VALUE"""),0)</f>
        <v>0</v>
      </c>
      <c r="X5" s="103">
        <f ca="1">IFERROR(__xludf.DUMMYFUNCTION("""COMPUTED_VALUE"""),0)</f>
        <v>0</v>
      </c>
      <c r="Y5" s="103">
        <f ca="1">IFERROR(__xludf.DUMMYFUNCTION("""COMPUTED_VALUE"""),0)</f>
        <v>0</v>
      </c>
      <c r="Z5" s="103">
        <f ca="1">IFERROR(__xludf.DUMMYFUNCTION("""COMPUTED_VALUE"""),0)</f>
        <v>0</v>
      </c>
      <c r="AA5" s="103">
        <f ca="1">IFERROR(__xludf.DUMMYFUNCTION("""COMPUTED_VALUE"""),0)</f>
        <v>0</v>
      </c>
      <c r="AB5" s="103">
        <f ca="1">IFERROR(__xludf.DUMMYFUNCTION("""COMPUTED_VALUE"""),0)</f>
        <v>0</v>
      </c>
      <c r="AC5" s="103">
        <f ca="1">IFERROR(__xludf.DUMMYFUNCTION("""COMPUTED_VALUE"""),5)</f>
        <v>5</v>
      </c>
      <c r="AD5" s="103">
        <f ca="1">IFERROR(__xludf.DUMMYFUNCTION("""COMPUTED_VALUE"""),5)</f>
        <v>5</v>
      </c>
      <c r="AE5" s="103">
        <f ca="1">IFERROR(__xludf.DUMMYFUNCTION("""COMPUTED_VALUE"""),1)</f>
        <v>1</v>
      </c>
      <c r="AF5" s="103">
        <f ca="1">IFERROR(__xludf.DUMMYFUNCTION("""COMPUTED_VALUE"""),1)</f>
        <v>1</v>
      </c>
      <c r="AG5" s="103">
        <f ca="1">IFERROR(__xludf.DUMMYFUNCTION("""COMPUTED_VALUE"""),0)</f>
        <v>0</v>
      </c>
      <c r="AH5" s="103">
        <f ca="1">IFERROR(__xludf.DUMMYFUNCTION("""COMPUTED_VALUE"""),0)</f>
        <v>0</v>
      </c>
      <c r="AI5" s="103">
        <f ca="1">IFERROR(__xludf.DUMMYFUNCTION("""COMPUTED_VALUE"""),0)</f>
        <v>0</v>
      </c>
      <c r="AJ5" s="103">
        <f ca="1">IFERROR(__xludf.DUMMYFUNCTION("""COMPUTED_VALUE"""),0)</f>
        <v>0</v>
      </c>
      <c r="AK5" s="103">
        <f ca="1">IFERROR(__xludf.DUMMYFUNCTION("""COMPUTED_VALUE"""),0)</f>
        <v>0</v>
      </c>
      <c r="AL5" s="103">
        <f ca="1">IFERROR(__xludf.DUMMYFUNCTION("""COMPUTED_VALUE"""),0)</f>
        <v>0</v>
      </c>
      <c r="AM5" s="103">
        <f ca="1">IFERROR(__xludf.DUMMYFUNCTION("""COMPUTED_VALUE"""),0)</f>
        <v>0</v>
      </c>
      <c r="AN5" s="103">
        <f ca="1">IFERROR(__xludf.DUMMYFUNCTION("""COMPUTED_VALUE"""),0)</f>
        <v>0</v>
      </c>
      <c r="AO5" s="103">
        <f ca="1">IFERROR(__xludf.DUMMYFUNCTION("""COMPUTED_VALUE"""),0)</f>
        <v>0</v>
      </c>
      <c r="AP5" s="103">
        <f ca="1">IFERROR(__xludf.DUMMYFUNCTION("""COMPUTED_VALUE"""),0)</f>
        <v>0</v>
      </c>
      <c r="AQ5" s="103">
        <f ca="1">IFERROR(__xludf.DUMMYFUNCTION("""COMPUTED_VALUE"""),0)</f>
        <v>0</v>
      </c>
      <c r="AR5" s="103">
        <f ca="1">IFERROR(__xludf.DUMMYFUNCTION("""COMPUTED_VALUE"""),0)</f>
        <v>0</v>
      </c>
      <c r="AS5" s="103">
        <f ca="1">IFERROR(__xludf.DUMMYFUNCTION("""COMPUTED_VALUE"""),0)</f>
        <v>0</v>
      </c>
      <c r="AT5" s="103">
        <f ca="1">IFERROR(__xludf.DUMMYFUNCTION("""COMPUTED_VALUE"""),0)</f>
        <v>0</v>
      </c>
      <c r="AU5" s="103">
        <f ca="1">IFERROR(__xludf.DUMMYFUNCTION("""COMPUTED_VALUE"""),0)</f>
        <v>0</v>
      </c>
      <c r="AV5" s="103">
        <f ca="1">IFERROR(__xludf.DUMMYFUNCTION("""COMPUTED_VALUE"""),0)</f>
        <v>0</v>
      </c>
      <c r="AW5" s="103">
        <f ca="1">IFERROR(__xludf.DUMMYFUNCTION("""COMPUTED_VALUE"""),0)</f>
        <v>0</v>
      </c>
      <c r="AX5" s="103">
        <f ca="1">IFERROR(__xludf.DUMMYFUNCTION("""COMPUTED_VALUE"""),0)</f>
        <v>0</v>
      </c>
      <c r="AY5" s="103">
        <f ca="1">IFERROR(__xludf.DUMMYFUNCTION("""COMPUTED_VALUE"""),0)</f>
        <v>0</v>
      </c>
      <c r="AZ5" s="103">
        <f ca="1">IFERROR(__xludf.DUMMYFUNCTION("""COMPUTED_VALUE"""),0)</f>
        <v>0</v>
      </c>
      <c r="BA5" s="103">
        <f ca="1">IFERROR(__xludf.DUMMYFUNCTION("""COMPUTED_VALUE"""),23)</f>
        <v>23</v>
      </c>
      <c r="BB5" s="103">
        <f ca="1">IFERROR(__xludf.DUMMYFUNCTION("""COMPUTED_VALUE"""),20)</f>
        <v>20</v>
      </c>
      <c r="BC5" s="103"/>
      <c r="BD5" s="103"/>
      <c r="BE5" s="103"/>
      <c r="BF5" s="103"/>
      <c r="BG5" s="103"/>
      <c r="BH5" s="103"/>
    </row>
    <row r="6" spans="1:67" ht="12.75">
      <c r="A6" s="111" t="s">
        <v>23</v>
      </c>
      <c r="B6" s="112"/>
      <c r="C6" s="113"/>
      <c r="D6" s="107">
        <f ca="1">IFERROR(__xludf.DUMMYFUNCTION("""COMPUTED_VALUE"""),44466.0230925115)</f>
        <v>44466.023092511503</v>
      </c>
      <c r="E6" s="103" t="str">
        <f ca="1">IFERROR(__xludf.DUMMYFUNCTION("""COMPUTED_VALUE"""),"drug@rtp.com")</f>
        <v>drug@rtp.com</v>
      </c>
      <c r="F6" s="103" t="str">
        <f ca="1">IFERROR(__xludf.DUMMYFUNCTION("""COMPUTED_VALUE"""),"rtp2021")</f>
        <v>rtp2021</v>
      </c>
      <c r="G6" s="103"/>
      <c r="H6" s="103" t="str">
        <f ca="1">IFERROR(__xludf.DUMMYFUNCTION("""COMPUTED_VALUE"""),"บช.ปส.")</f>
        <v>บช.ปส.</v>
      </c>
      <c r="I6" s="103">
        <f ca="1">IFERROR(__xludf.DUMMYFUNCTION("""COMPUTED_VALUE"""),0)</f>
        <v>0</v>
      </c>
      <c r="J6" s="103">
        <f ca="1">IFERROR(__xludf.DUMMYFUNCTION("""COMPUTED_VALUE"""),0)</f>
        <v>0</v>
      </c>
      <c r="K6" s="103">
        <f ca="1">IFERROR(__xludf.DUMMYFUNCTION("""COMPUTED_VALUE"""),0)</f>
        <v>0</v>
      </c>
      <c r="L6" s="103"/>
      <c r="M6" s="103">
        <f ca="1">IFERROR(__xludf.DUMMYFUNCTION("""COMPUTED_VALUE"""),0)</f>
        <v>0</v>
      </c>
      <c r="N6" s="103">
        <f ca="1">IFERROR(__xludf.DUMMYFUNCTION("""COMPUTED_VALUE"""),0)</f>
        <v>0</v>
      </c>
      <c r="O6" s="103">
        <f ca="1">IFERROR(__xludf.DUMMYFUNCTION("""COMPUTED_VALUE"""),0)</f>
        <v>0</v>
      </c>
      <c r="P6" s="103">
        <f ca="1">IFERROR(__xludf.DUMMYFUNCTION("""COMPUTED_VALUE"""),0)</f>
        <v>0</v>
      </c>
      <c r="Q6" s="103">
        <f ca="1">IFERROR(__xludf.DUMMYFUNCTION("""COMPUTED_VALUE"""),0)</f>
        <v>0</v>
      </c>
      <c r="R6" s="103">
        <f ca="1">IFERROR(__xludf.DUMMYFUNCTION("""COMPUTED_VALUE"""),0)</f>
        <v>0</v>
      </c>
      <c r="S6" s="103">
        <f ca="1">IFERROR(__xludf.DUMMYFUNCTION("""COMPUTED_VALUE"""),0)</f>
        <v>0</v>
      </c>
      <c r="T6" s="103">
        <f ca="1">IFERROR(__xludf.DUMMYFUNCTION("""COMPUTED_VALUE"""),0)</f>
        <v>0</v>
      </c>
      <c r="U6" s="103">
        <f ca="1">IFERROR(__xludf.DUMMYFUNCTION("""COMPUTED_VALUE"""),0)</f>
        <v>0</v>
      </c>
      <c r="V6" s="103">
        <f ca="1">IFERROR(__xludf.DUMMYFUNCTION("""COMPUTED_VALUE"""),0)</f>
        <v>0</v>
      </c>
      <c r="W6" s="103">
        <f ca="1">IFERROR(__xludf.DUMMYFUNCTION("""COMPUTED_VALUE"""),0)</f>
        <v>0</v>
      </c>
      <c r="X6" s="103">
        <f ca="1">IFERROR(__xludf.DUMMYFUNCTION("""COMPUTED_VALUE"""),0)</f>
        <v>0</v>
      </c>
      <c r="Y6" s="103">
        <f ca="1">IFERROR(__xludf.DUMMYFUNCTION("""COMPUTED_VALUE"""),0)</f>
        <v>0</v>
      </c>
      <c r="Z6" s="103">
        <f ca="1">IFERROR(__xludf.DUMMYFUNCTION("""COMPUTED_VALUE"""),0)</f>
        <v>0</v>
      </c>
      <c r="AA6" s="103">
        <f ca="1">IFERROR(__xludf.DUMMYFUNCTION("""COMPUTED_VALUE"""),0)</f>
        <v>0</v>
      </c>
      <c r="AB6" s="103">
        <f ca="1">IFERROR(__xludf.DUMMYFUNCTION("""COMPUTED_VALUE"""),0)</f>
        <v>0</v>
      </c>
      <c r="AC6" s="103">
        <f ca="1">IFERROR(__xludf.DUMMYFUNCTION("""COMPUTED_VALUE"""),2)</f>
        <v>2</v>
      </c>
      <c r="AD6" s="103">
        <f ca="1">IFERROR(__xludf.DUMMYFUNCTION("""COMPUTED_VALUE"""),3)</f>
        <v>3</v>
      </c>
      <c r="AE6" s="103">
        <f ca="1">IFERROR(__xludf.DUMMYFUNCTION("""COMPUTED_VALUE"""),0)</f>
        <v>0</v>
      </c>
      <c r="AF6" s="103">
        <f ca="1">IFERROR(__xludf.DUMMYFUNCTION("""COMPUTED_VALUE"""),0)</f>
        <v>0</v>
      </c>
      <c r="AG6" s="103">
        <f ca="1">IFERROR(__xludf.DUMMYFUNCTION("""COMPUTED_VALUE"""),0)</f>
        <v>0</v>
      </c>
      <c r="AH6" s="103">
        <f ca="1">IFERROR(__xludf.DUMMYFUNCTION("""COMPUTED_VALUE"""),0)</f>
        <v>0</v>
      </c>
      <c r="AI6" s="103">
        <f ca="1">IFERROR(__xludf.DUMMYFUNCTION("""COMPUTED_VALUE"""),0)</f>
        <v>0</v>
      </c>
      <c r="AJ6" s="103">
        <f ca="1">IFERROR(__xludf.DUMMYFUNCTION("""COMPUTED_VALUE"""),0)</f>
        <v>0</v>
      </c>
      <c r="AK6" s="103">
        <f ca="1">IFERROR(__xludf.DUMMYFUNCTION("""COMPUTED_VALUE"""),0)</f>
        <v>0</v>
      </c>
      <c r="AL6" s="103">
        <f ca="1">IFERROR(__xludf.DUMMYFUNCTION("""COMPUTED_VALUE"""),0)</f>
        <v>0</v>
      </c>
      <c r="AM6" s="103">
        <f ca="1">IFERROR(__xludf.DUMMYFUNCTION("""COMPUTED_VALUE"""),1)</f>
        <v>1</v>
      </c>
      <c r="AN6" s="103">
        <f ca="1">IFERROR(__xludf.DUMMYFUNCTION("""COMPUTED_VALUE"""),1)</f>
        <v>1</v>
      </c>
      <c r="AO6" s="103">
        <f ca="1">IFERROR(__xludf.DUMMYFUNCTION("""COMPUTED_VALUE"""),0)</f>
        <v>0</v>
      </c>
      <c r="AP6" s="103">
        <f ca="1">IFERROR(__xludf.DUMMYFUNCTION("""COMPUTED_VALUE"""),0)</f>
        <v>0</v>
      </c>
      <c r="AQ6" s="103">
        <f ca="1">IFERROR(__xludf.DUMMYFUNCTION("""COMPUTED_VALUE"""),0)</f>
        <v>0</v>
      </c>
      <c r="AR6" s="103">
        <f ca="1">IFERROR(__xludf.DUMMYFUNCTION("""COMPUTED_VALUE"""),0)</f>
        <v>0</v>
      </c>
      <c r="AS6" s="103">
        <f ca="1">IFERROR(__xludf.DUMMYFUNCTION("""COMPUTED_VALUE"""),0)</f>
        <v>0</v>
      </c>
      <c r="AT6" s="103">
        <f ca="1">IFERROR(__xludf.DUMMYFUNCTION("""COMPUTED_VALUE"""),0)</f>
        <v>0</v>
      </c>
      <c r="AU6" s="103">
        <f ca="1">IFERROR(__xludf.DUMMYFUNCTION("""COMPUTED_VALUE"""),0)</f>
        <v>0</v>
      </c>
      <c r="AV6" s="103">
        <f ca="1">IFERROR(__xludf.DUMMYFUNCTION("""COMPUTED_VALUE"""),0)</f>
        <v>0</v>
      </c>
      <c r="AW6" s="103">
        <f ca="1">IFERROR(__xludf.DUMMYFUNCTION("""COMPUTED_VALUE"""),0)</f>
        <v>0</v>
      </c>
      <c r="AX6" s="103">
        <f ca="1">IFERROR(__xludf.DUMMYFUNCTION("""COMPUTED_VALUE"""),0)</f>
        <v>0</v>
      </c>
      <c r="AY6" s="103">
        <f ca="1">IFERROR(__xludf.DUMMYFUNCTION("""COMPUTED_VALUE"""),0)</f>
        <v>0</v>
      </c>
      <c r="AZ6" s="103">
        <f ca="1">IFERROR(__xludf.DUMMYFUNCTION("""COMPUTED_VALUE"""),0)</f>
        <v>0</v>
      </c>
      <c r="BA6" s="103">
        <f ca="1">IFERROR(__xludf.DUMMYFUNCTION("""COMPUTED_VALUE"""),30)</f>
        <v>30</v>
      </c>
      <c r="BB6" s="103">
        <f ca="1">IFERROR(__xludf.DUMMYFUNCTION("""COMPUTED_VALUE"""),27)</f>
        <v>27</v>
      </c>
      <c r="BC6" s="103"/>
      <c r="BD6" s="103"/>
      <c r="BE6" s="103"/>
      <c r="BF6" s="103"/>
      <c r="BG6" s="103"/>
      <c r="BH6" s="10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  <c r="D7" s="107">
        <f ca="1">IFERROR(__xludf.DUMMYFUNCTION("""COMPUTED_VALUE"""),44467.0125077893)</f>
        <v>44467.012507789303</v>
      </c>
      <c r="E7" s="103" t="str">
        <f ca="1">IFERROR(__xludf.DUMMYFUNCTION("""COMPUTED_VALUE"""),"drug@rtp.com")</f>
        <v>drug@rtp.com</v>
      </c>
      <c r="F7" s="103" t="str">
        <f ca="1">IFERROR(__xludf.DUMMYFUNCTION("""COMPUTED_VALUE"""),"rtp2021")</f>
        <v>rtp2021</v>
      </c>
      <c r="G7" s="103"/>
      <c r="H7" s="103" t="str">
        <f ca="1">IFERROR(__xludf.DUMMYFUNCTION("""COMPUTED_VALUE"""),"บช.ปส.")</f>
        <v>บช.ปส.</v>
      </c>
      <c r="I7" s="103">
        <f ca="1">IFERROR(__xludf.DUMMYFUNCTION("""COMPUTED_VALUE"""),0)</f>
        <v>0</v>
      </c>
      <c r="J7" s="103">
        <f ca="1">IFERROR(__xludf.DUMMYFUNCTION("""COMPUTED_VALUE"""),0)</f>
        <v>0</v>
      </c>
      <c r="K7" s="103">
        <f ca="1">IFERROR(__xludf.DUMMYFUNCTION("""COMPUTED_VALUE"""),0)</f>
        <v>0</v>
      </c>
      <c r="L7" s="103">
        <f ca="1">IFERROR(__xludf.DUMMYFUNCTION("""COMPUTED_VALUE"""),0)</f>
        <v>0</v>
      </c>
      <c r="M7" s="103">
        <f ca="1">IFERROR(__xludf.DUMMYFUNCTION("""COMPUTED_VALUE"""),0)</f>
        <v>0</v>
      </c>
      <c r="N7" s="103">
        <f ca="1">IFERROR(__xludf.DUMMYFUNCTION("""COMPUTED_VALUE"""),0)</f>
        <v>0</v>
      </c>
      <c r="O7" s="103">
        <f ca="1">IFERROR(__xludf.DUMMYFUNCTION("""COMPUTED_VALUE"""),0)</f>
        <v>0</v>
      </c>
      <c r="P7" s="103">
        <f ca="1">IFERROR(__xludf.DUMMYFUNCTION("""COMPUTED_VALUE"""),0)</f>
        <v>0</v>
      </c>
      <c r="Q7" s="103">
        <f ca="1">IFERROR(__xludf.DUMMYFUNCTION("""COMPUTED_VALUE"""),0)</f>
        <v>0</v>
      </c>
      <c r="R7" s="103"/>
      <c r="S7" s="103">
        <f ca="1">IFERROR(__xludf.DUMMYFUNCTION("""COMPUTED_VALUE"""),0)</f>
        <v>0</v>
      </c>
      <c r="T7" s="103">
        <f ca="1">IFERROR(__xludf.DUMMYFUNCTION("""COMPUTED_VALUE"""),0)</f>
        <v>0</v>
      </c>
      <c r="U7" s="103">
        <f ca="1">IFERROR(__xludf.DUMMYFUNCTION("""COMPUTED_VALUE"""),0)</f>
        <v>0</v>
      </c>
      <c r="V7" s="103">
        <f ca="1">IFERROR(__xludf.DUMMYFUNCTION("""COMPUTED_VALUE"""),0)</f>
        <v>0</v>
      </c>
      <c r="W7" s="103">
        <f ca="1">IFERROR(__xludf.DUMMYFUNCTION("""COMPUTED_VALUE"""),0)</f>
        <v>0</v>
      </c>
      <c r="X7" s="103"/>
      <c r="Y7" s="103">
        <f ca="1">IFERROR(__xludf.DUMMYFUNCTION("""COMPUTED_VALUE"""),0)</f>
        <v>0</v>
      </c>
      <c r="Z7" s="103">
        <f ca="1">IFERROR(__xludf.DUMMYFUNCTION("""COMPUTED_VALUE"""),0)</f>
        <v>0</v>
      </c>
      <c r="AA7" s="103">
        <f ca="1">IFERROR(__xludf.DUMMYFUNCTION("""COMPUTED_VALUE"""),0)</f>
        <v>0</v>
      </c>
      <c r="AB7" s="103">
        <f ca="1">IFERROR(__xludf.DUMMYFUNCTION("""COMPUTED_VALUE"""),0)</f>
        <v>0</v>
      </c>
      <c r="AC7" s="103">
        <f ca="1">IFERROR(__xludf.DUMMYFUNCTION("""COMPUTED_VALUE"""),1)</f>
        <v>1</v>
      </c>
      <c r="AD7" s="103">
        <f ca="1">IFERROR(__xludf.DUMMYFUNCTION("""COMPUTED_VALUE"""),1)</f>
        <v>1</v>
      </c>
      <c r="AE7" s="103">
        <f ca="1">IFERROR(__xludf.DUMMYFUNCTION("""COMPUTED_VALUE"""),0)</f>
        <v>0</v>
      </c>
      <c r="AF7" s="103">
        <f ca="1">IFERROR(__xludf.DUMMYFUNCTION("""COMPUTED_VALUE"""),0)</f>
        <v>0</v>
      </c>
      <c r="AG7" s="103">
        <f ca="1">IFERROR(__xludf.DUMMYFUNCTION("""COMPUTED_VALUE"""),0)</f>
        <v>0</v>
      </c>
      <c r="AH7" s="103">
        <f ca="1">IFERROR(__xludf.DUMMYFUNCTION("""COMPUTED_VALUE"""),0)</f>
        <v>0</v>
      </c>
      <c r="AI7" s="103">
        <f ca="1">IFERROR(__xludf.DUMMYFUNCTION("""COMPUTED_VALUE"""),0)</f>
        <v>0</v>
      </c>
      <c r="AJ7" s="103">
        <f ca="1">IFERROR(__xludf.DUMMYFUNCTION("""COMPUTED_VALUE"""),0)</f>
        <v>0</v>
      </c>
      <c r="AK7" s="103">
        <f ca="1">IFERROR(__xludf.DUMMYFUNCTION("""COMPUTED_VALUE"""),0)</f>
        <v>0</v>
      </c>
      <c r="AL7" s="103">
        <f ca="1">IFERROR(__xludf.DUMMYFUNCTION("""COMPUTED_VALUE"""),0)</f>
        <v>0</v>
      </c>
      <c r="AM7" s="103">
        <f ca="1">IFERROR(__xludf.DUMMYFUNCTION("""COMPUTED_VALUE"""),0)</f>
        <v>0</v>
      </c>
      <c r="AN7" s="103">
        <f ca="1">IFERROR(__xludf.DUMMYFUNCTION("""COMPUTED_VALUE"""),0)</f>
        <v>0</v>
      </c>
      <c r="AO7" s="103">
        <f ca="1">IFERROR(__xludf.DUMMYFUNCTION("""COMPUTED_VALUE"""),0)</f>
        <v>0</v>
      </c>
      <c r="AP7" s="103">
        <f ca="1">IFERROR(__xludf.DUMMYFUNCTION("""COMPUTED_VALUE"""),0)</f>
        <v>0</v>
      </c>
      <c r="AQ7" s="103">
        <f ca="1">IFERROR(__xludf.DUMMYFUNCTION("""COMPUTED_VALUE"""),1)</f>
        <v>1</v>
      </c>
      <c r="AR7" s="103">
        <f ca="1">IFERROR(__xludf.DUMMYFUNCTION("""COMPUTED_VALUE"""),1)</f>
        <v>1</v>
      </c>
      <c r="AS7" s="103">
        <f ca="1">IFERROR(__xludf.DUMMYFUNCTION("""COMPUTED_VALUE"""),0)</f>
        <v>0</v>
      </c>
      <c r="AT7" s="103">
        <f ca="1">IFERROR(__xludf.DUMMYFUNCTION("""COMPUTED_VALUE"""),0)</f>
        <v>0</v>
      </c>
      <c r="AU7" s="103">
        <f ca="1">IFERROR(__xludf.DUMMYFUNCTION("""COMPUTED_VALUE"""),0)</f>
        <v>0</v>
      </c>
      <c r="AV7" s="103">
        <f ca="1">IFERROR(__xludf.DUMMYFUNCTION("""COMPUTED_VALUE"""),0)</f>
        <v>0</v>
      </c>
      <c r="AW7" s="103">
        <f ca="1">IFERROR(__xludf.DUMMYFUNCTION("""COMPUTED_VALUE"""),0)</f>
        <v>0</v>
      </c>
      <c r="AX7" s="103">
        <f ca="1">IFERROR(__xludf.DUMMYFUNCTION("""COMPUTED_VALUE"""),0)</f>
        <v>0</v>
      </c>
      <c r="AY7" s="103">
        <f ca="1">IFERROR(__xludf.DUMMYFUNCTION("""COMPUTED_VALUE"""),0)</f>
        <v>0</v>
      </c>
      <c r="AZ7" s="103">
        <f ca="1">IFERROR(__xludf.DUMMYFUNCTION("""COMPUTED_VALUE"""),0)</f>
        <v>0</v>
      </c>
      <c r="BA7" s="103">
        <f ca="1">IFERROR(__xludf.DUMMYFUNCTION("""COMPUTED_VALUE"""),32)</f>
        <v>32</v>
      </c>
      <c r="BB7" s="103">
        <f ca="1">IFERROR(__xludf.DUMMYFUNCTION("""COMPUTED_VALUE"""),25)</f>
        <v>25</v>
      </c>
      <c r="BC7" s="103"/>
      <c r="BD7" s="103"/>
      <c r="BE7" s="103"/>
      <c r="BF7" s="103"/>
      <c r="BG7" s="103"/>
      <c r="BH7" s="103"/>
    </row>
    <row r="8" spans="1:67" ht="12.75">
      <c r="A8" s="114" t="s">
        <v>25</v>
      </c>
      <c r="B8" s="115"/>
      <c r="C8" s="116"/>
      <c r="D8" s="107">
        <f ca="1">IFERROR(__xludf.DUMMYFUNCTION("""COMPUTED_VALUE"""),44468.010840162)</f>
        <v>44468.010840162002</v>
      </c>
      <c r="E8" s="103" t="str">
        <f ca="1">IFERROR(__xludf.DUMMYFUNCTION("""COMPUTED_VALUE"""),"drug@rtp.com")</f>
        <v>drug@rtp.com</v>
      </c>
      <c r="F8" s="103" t="str">
        <f ca="1">IFERROR(__xludf.DUMMYFUNCTION("""COMPUTED_VALUE"""),"rtp2021")</f>
        <v>rtp2021</v>
      </c>
      <c r="G8" s="103"/>
      <c r="H8" s="103" t="str">
        <f ca="1">IFERROR(__xludf.DUMMYFUNCTION("""COMPUTED_VALUE"""),"บช.ปส.")</f>
        <v>บช.ปส.</v>
      </c>
      <c r="I8" s="103">
        <f ca="1">IFERROR(__xludf.DUMMYFUNCTION("""COMPUTED_VALUE"""),0)</f>
        <v>0</v>
      </c>
      <c r="J8" s="103">
        <f ca="1">IFERROR(__xludf.DUMMYFUNCTION("""COMPUTED_VALUE"""),0)</f>
        <v>0</v>
      </c>
      <c r="K8" s="103">
        <f ca="1">IFERROR(__xludf.DUMMYFUNCTION("""COMPUTED_VALUE"""),0)</f>
        <v>0</v>
      </c>
      <c r="L8" s="103">
        <f ca="1">IFERROR(__xludf.DUMMYFUNCTION("""COMPUTED_VALUE"""),0)</f>
        <v>0</v>
      </c>
      <c r="M8" s="103">
        <f ca="1">IFERROR(__xludf.DUMMYFUNCTION("""COMPUTED_VALUE"""),0)</f>
        <v>0</v>
      </c>
      <c r="N8" s="103">
        <f ca="1">IFERROR(__xludf.DUMMYFUNCTION("""COMPUTED_VALUE"""),0)</f>
        <v>0</v>
      </c>
      <c r="O8" s="103">
        <f ca="1">IFERROR(__xludf.DUMMYFUNCTION("""COMPUTED_VALUE"""),0)</f>
        <v>0</v>
      </c>
      <c r="P8" s="103">
        <f ca="1">IFERROR(__xludf.DUMMYFUNCTION("""COMPUTED_VALUE"""),0)</f>
        <v>0</v>
      </c>
      <c r="Q8" s="103">
        <f ca="1">IFERROR(__xludf.DUMMYFUNCTION("""COMPUTED_VALUE"""),0)</f>
        <v>0</v>
      </c>
      <c r="R8" s="103">
        <f ca="1">IFERROR(__xludf.DUMMYFUNCTION("""COMPUTED_VALUE"""),0)</f>
        <v>0</v>
      </c>
      <c r="S8" s="103">
        <f ca="1">IFERROR(__xludf.DUMMYFUNCTION("""COMPUTED_VALUE"""),0)</f>
        <v>0</v>
      </c>
      <c r="T8" s="103">
        <f ca="1">IFERROR(__xludf.DUMMYFUNCTION("""COMPUTED_VALUE"""),0)</f>
        <v>0</v>
      </c>
      <c r="U8" s="103">
        <f ca="1">IFERROR(__xludf.DUMMYFUNCTION("""COMPUTED_VALUE"""),0)</f>
        <v>0</v>
      </c>
      <c r="V8" s="103">
        <f ca="1">IFERROR(__xludf.DUMMYFUNCTION("""COMPUTED_VALUE"""),0)</f>
        <v>0</v>
      </c>
      <c r="W8" s="103">
        <f ca="1">IFERROR(__xludf.DUMMYFUNCTION("""COMPUTED_VALUE"""),0)</f>
        <v>0</v>
      </c>
      <c r="X8" s="103">
        <f ca="1">IFERROR(__xludf.DUMMYFUNCTION("""COMPUTED_VALUE"""),0)</f>
        <v>0</v>
      </c>
      <c r="Y8" s="103">
        <f ca="1">IFERROR(__xludf.DUMMYFUNCTION("""COMPUTED_VALUE"""),0)</f>
        <v>0</v>
      </c>
      <c r="Z8" s="103">
        <f ca="1">IFERROR(__xludf.DUMMYFUNCTION("""COMPUTED_VALUE"""),0)</f>
        <v>0</v>
      </c>
      <c r="AA8" s="103">
        <f ca="1">IFERROR(__xludf.DUMMYFUNCTION("""COMPUTED_VALUE"""),2)</f>
        <v>2</v>
      </c>
      <c r="AB8" s="103">
        <f ca="1">IFERROR(__xludf.DUMMYFUNCTION("""COMPUTED_VALUE"""),2)</f>
        <v>2</v>
      </c>
      <c r="AC8" s="103">
        <f ca="1">IFERROR(__xludf.DUMMYFUNCTION("""COMPUTED_VALUE"""),6)</f>
        <v>6</v>
      </c>
      <c r="AD8" s="103">
        <f ca="1">IFERROR(__xludf.DUMMYFUNCTION("""COMPUTED_VALUE"""),11)</f>
        <v>11</v>
      </c>
      <c r="AE8" s="103">
        <f ca="1">IFERROR(__xludf.DUMMYFUNCTION("""COMPUTED_VALUE"""),0)</f>
        <v>0</v>
      </c>
      <c r="AF8" s="103">
        <f ca="1">IFERROR(__xludf.DUMMYFUNCTION("""COMPUTED_VALUE"""),0)</f>
        <v>0</v>
      </c>
      <c r="AG8" s="103">
        <f ca="1">IFERROR(__xludf.DUMMYFUNCTION("""COMPUTED_VALUE"""),1)</f>
        <v>1</v>
      </c>
      <c r="AH8" s="103">
        <f ca="1">IFERROR(__xludf.DUMMYFUNCTION("""COMPUTED_VALUE"""),1)</f>
        <v>1</v>
      </c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>
        <f ca="1">IFERROR(__xludf.DUMMYFUNCTION("""COMPUTED_VALUE"""),0)</f>
        <v>0</v>
      </c>
      <c r="AZ8" s="103">
        <f ca="1">IFERROR(__xludf.DUMMYFUNCTION("""COMPUTED_VALUE"""),0)</f>
        <v>0</v>
      </c>
      <c r="BA8" s="103">
        <f ca="1">IFERROR(__xludf.DUMMYFUNCTION("""COMPUTED_VALUE"""),53)</f>
        <v>53</v>
      </c>
      <c r="BB8" s="103">
        <f ca="1">IFERROR(__xludf.DUMMYFUNCTION("""COMPUTED_VALUE"""),48)</f>
        <v>48</v>
      </c>
      <c r="BC8" s="103"/>
      <c r="BD8" s="103"/>
      <c r="BE8" s="103"/>
      <c r="BF8" s="103"/>
      <c r="BG8" s="103"/>
      <c r="BH8" s="103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  <c r="D9" s="107">
        <f ca="1">IFERROR(__xludf.DUMMYFUNCTION("""COMPUTED_VALUE"""),44469.0042300926)</f>
        <v>44469.0042300926</v>
      </c>
      <c r="E9" s="103" t="str">
        <f ca="1">IFERROR(__xludf.DUMMYFUNCTION("""COMPUTED_VALUE"""),"drug@rtp.com")</f>
        <v>drug@rtp.com</v>
      </c>
      <c r="F9" s="103" t="str">
        <f ca="1">IFERROR(__xludf.DUMMYFUNCTION("""COMPUTED_VALUE"""),"rtp2021")</f>
        <v>rtp2021</v>
      </c>
      <c r="G9" s="103"/>
      <c r="H9" s="103" t="str">
        <f ca="1">IFERROR(__xludf.DUMMYFUNCTION("""COMPUTED_VALUE"""),"บช.ปส.")</f>
        <v>บช.ปส.</v>
      </c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>
        <f ca="1">IFERROR(__xludf.DUMMYFUNCTION("""COMPUTED_VALUE"""),0)</f>
        <v>0</v>
      </c>
      <c r="V9" s="103">
        <f ca="1">IFERROR(__xludf.DUMMYFUNCTION("""COMPUTED_VALUE"""),0)</f>
        <v>0</v>
      </c>
      <c r="W9" s="103">
        <f ca="1">IFERROR(__xludf.DUMMYFUNCTION("""COMPUTED_VALUE"""),0)</f>
        <v>0</v>
      </c>
      <c r="X9" s="103">
        <f ca="1">IFERROR(__xludf.DUMMYFUNCTION("""COMPUTED_VALUE"""),0)</f>
        <v>0</v>
      </c>
      <c r="Y9" s="103">
        <f ca="1">IFERROR(__xludf.DUMMYFUNCTION("""COMPUTED_VALUE"""),1)</f>
        <v>1</v>
      </c>
      <c r="Z9" s="103">
        <f ca="1">IFERROR(__xludf.DUMMYFUNCTION("""COMPUTED_VALUE"""),0)</f>
        <v>0</v>
      </c>
      <c r="AA9" s="103">
        <f ca="1">IFERROR(__xludf.DUMMYFUNCTION("""COMPUTED_VALUE"""),0)</f>
        <v>0</v>
      </c>
      <c r="AB9" s="103">
        <f ca="1">IFERROR(__xludf.DUMMYFUNCTION("""COMPUTED_VALUE"""),0)</f>
        <v>0</v>
      </c>
      <c r="AC9" s="103">
        <f ca="1">IFERROR(__xludf.DUMMYFUNCTION("""COMPUTED_VALUE"""),0)</f>
        <v>0</v>
      </c>
      <c r="AD9" s="103">
        <f ca="1">IFERROR(__xludf.DUMMYFUNCTION("""COMPUTED_VALUE"""),0)</f>
        <v>0</v>
      </c>
      <c r="AE9" s="103">
        <f ca="1">IFERROR(__xludf.DUMMYFUNCTION("""COMPUTED_VALUE"""),3)</f>
        <v>3</v>
      </c>
      <c r="AF9" s="103">
        <f ca="1">IFERROR(__xludf.DUMMYFUNCTION("""COMPUTED_VALUE"""),3)</f>
        <v>3</v>
      </c>
      <c r="AG9" s="103">
        <f ca="1">IFERROR(__xludf.DUMMYFUNCTION("""COMPUTED_VALUE"""),0)</f>
        <v>0</v>
      </c>
      <c r="AH9" s="103">
        <f ca="1">IFERROR(__xludf.DUMMYFUNCTION("""COMPUTED_VALUE"""),0)</f>
        <v>0</v>
      </c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>
        <f ca="1">IFERROR(__xludf.DUMMYFUNCTION("""COMPUTED_VALUE"""),0)</f>
        <v>0</v>
      </c>
      <c r="AZ9" s="103">
        <f ca="1">IFERROR(__xludf.DUMMYFUNCTION("""COMPUTED_VALUE"""),0)</f>
        <v>0</v>
      </c>
      <c r="BA9" s="103">
        <f ca="1">IFERROR(__xludf.DUMMYFUNCTION("""COMPUTED_VALUE"""),29)</f>
        <v>29</v>
      </c>
      <c r="BB9" s="103">
        <f ca="1">IFERROR(__xludf.DUMMYFUNCTION("""COMPUTED_VALUE"""),29)</f>
        <v>29</v>
      </c>
      <c r="BC9" s="103"/>
      <c r="BD9" s="103"/>
      <c r="BE9" s="103"/>
      <c r="BF9" s="103"/>
      <c r="BG9" s="103"/>
      <c r="BH9" s="103"/>
    </row>
    <row r="10" spans="1:67" ht="12.75">
      <c r="A10" s="114" t="s">
        <v>27</v>
      </c>
      <c r="B10" s="115">
        <f t="shared" ref="B10:C10" ca="1" si="2">SUM(M:M)</f>
        <v>0</v>
      </c>
      <c r="C10" s="116">
        <f t="shared" ca="1" si="2"/>
        <v>0</v>
      </c>
      <c r="D10" s="107">
        <f ca="1">IFERROR(__xludf.DUMMYFUNCTION("""COMPUTED_VALUE"""),44470.3071269791)</f>
        <v>44470.307126979103</v>
      </c>
      <c r="E10" s="103" t="str">
        <f ca="1">IFERROR(__xludf.DUMMYFUNCTION("""COMPUTED_VALUE"""),"drug@rtp.com")</f>
        <v>drug@rtp.com</v>
      </c>
      <c r="F10" s="103" t="str">
        <f ca="1">IFERROR(__xludf.DUMMYFUNCTION("""COMPUTED_VALUE"""),"rtp2021")</f>
        <v>rtp2021</v>
      </c>
      <c r="G10" s="103"/>
      <c r="H10" s="103" t="str">
        <f ca="1">IFERROR(__xludf.DUMMYFUNCTION("""COMPUTED_VALUE"""),"บช.ปส.")</f>
        <v>บช.ปส.</v>
      </c>
      <c r="I10" s="103"/>
      <c r="J10" s="103"/>
      <c r="K10" s="103"/>
      <c r="L10" s="103"/>
      <c r="M10" s="103"/>
      <c r="N10" s="103"/>
      <c r="O10" s="103">
        <f ca="1">IFERROR(__xludf.DUMMYFUNCTION("""COMPUTED_VALUE"""),1)</f>
        <v>1</v>
      </c>
      <c r="P10" s="103">
        <f ca="1">IFERROR(__xludf.DUMMYFUNCTION("""COMPUTED_VALUE"""),2)</f>
        <v>2</v>
      </c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>
        <f ca="1">IFERROR(__xludf.DUMMYFUNCTION("""COMPUTED_VALUE"""),1)</f>
        <v>1</v>
      </c>
      <c r="AD10" s="103">
        <f ca="1">IFERROR(__xludf.DUMMYFUNCTION("""COMPUTED_VALUE"""),4)</f>
        <v>4</v>
      </c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>
        <f ca="1">IFERROR(__xludf.DUMMYFUNCTION("""COMPUTED_VALUE"""),15)</f>
        <v>15</v>
      </c>
      <c r="BB10" s="103">
        <f ca="1">IFERROR(__xludf.DUMMYFUNCTION("""COMPUTED_VALUE"""),15)</f>
        <v>15</v>
      </c>
      <c r="BC10" s="103"/>
      <c r="BD10" s="103"/>
      <c r="BE10" s="103"/>
      <c r="BF10" s="103"/>
      <c r="BG10" s="103"/>
      <c r="BH10" s="103"/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1</v>
      </c>
      <c r="C12" s="116">
        <f t="shared" ca="1" si="3"/>
        <v>2</v>
      </c>
    </row>
    <row r="13" spans="1:67" ht="12.75">
      <c r="A13" s="114" t="s">
        <v>30</v>
      </c>
      <c r="B13" s="115">
        <f t="shared" ref="B13:C13" ca="1" si="4">SUM(Q:Q)</f>
        <v>0</v>
      </c>
      <c r="C13" s="116">
        <f t="shared" ca="1" si="4"/>
        <v>0</v>
      </c>
    </row>
    <row r="14" spans="1:67" ht="12.75">
      <c r="A14" s="114" t="s">
        <v>31</v>
      </c>
      <c r="B14" s="115">
        <f t="shared" ref="B14:C14" ca="1" si="5">SUM(S:S)</f>
        <v>0</v>
      </c>
      <c r="C14" s="116">
        <f t="shared" ca="1" si="5"/>
        <v>0</v>
      </c>
    </row>
    <row r="15" spans="1:67" ht="12.75">
      <c r="A15" s="117" t="s">
        <v>32</v>
      </c>
      <c r="B15" s="118">
        <f t="shared" ref="B15:C15" ca="1" si="6">SUM(B6:B14)</f>
        <v>1</v>
      </c>
      <c r="C15" s="119">
        <f t="shared" ca="1" si="6"/>
        <v>2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0</v>
      </c>
      <c r="C17" s="116">
        <f t="shared" ca="1" si="7"/>
        <v>0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1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2</v>
      </c>
      <c r="C20" s="116">
        <f t="shared" ca="1" si="10"/>
        <v>2</v>
      </c>
    </row>
    <row r="21" spans="1:3" ht="12.75">
      <c r="A21" s="114" t="s">
        <v>38</v>
      </c>
      <c r="B21" s="115">
        <f t="shared" ref="B21:C21" ca="1" si="11">SUM(AC:AC)</f>
        <v>17</v>
      </c>
      <c r="C21" s="116">
        <f t="shared" ca="1" si="11"/>
        <v>25</v>
      </c>
    </row>
    <row r="22" spans="1:3" ht="12.75">
      <c r="A22" s="114" t="s">
        <v>39</v>
      </c>
      <c r="B22" s="115">
        <f t="shared" ref="B22:C22" ca="1" si="12">SUM(AE:AE)</f>
        <v>4</v>
      </c>
      <c r="C22" s="116">
        <f t="shared" ca="1" si="12"/>
        <v>4</v>
      </c>
    </row>
    <row r="23" spans="1:3" ht="12.75">
      <c r="A23" s="114" t="s">
        <v>40</v>
      </c>
      <c r="B23" s="115">
        <f t="shared" ref="B23:C23" ca="1" si="13">SUM(AG:AG)</f>
        <v>2</v>
      </c>
      <c r="C23" s="116">
        <f t="shared" ca="1" si="13"/>
        <v>2</v>
      </c>
    </row>
    <row r="24" spans="1:3" ht="12.75">
      <c r="A24" s="117" t="s">
        <v>32</v>
      </c>
      <c r="B24" s="118">
        <f t="shared" ref="B24:C24" ca="1" si="14">SUM(B17:B23)</f>
        <v>26</v>
      </c>
      <c r="C24" s="119">
        <f t="shared" ca="1" si="14"/>
        <v>33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0</v>
      </c>
      <c r="C27" s="116">
        <f t="shared" ca="1" si="16"/>
        <v>0</v>
      </c>
    </row>
    <row r="28" spans="1:3" ht="12.75">
      <c r="A28" s="114" t="s">
        <v>44</v>
      </c>
      <c r="B28" s="115">
        <f t="shared" ref="B28:C28" ca="1" si="17">SUM(AM:AM)</f>
        <v>1</v>
      </c>
      <c r="C28" s="116">
        <f t="shared" ca="1" si="17"/>
        <v>1</v>
      </c>
    </row>
    <row r="29" spans="1:3" ht="12.75">
      <c r="A29" s="117" t="s">
        <v>32</v>
      </c>
      <c r="B29" s="118">
        <f t="shared" ref="B29:C29" ca="1" si="18">SUM(B26:B28)</f>
        <v>1</v>
      </c>
      <c r="C29" s="119">
        <f t="shared" ca="1" si="18"/>
        <v>1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1</v>
      </c>
      <c r="C32" s="116">
        <f t="shared" ca="1" si="20"/>
        <v>1</v>
      </c>
    </row>
    <row r="33" spans="1:67" ht="12.75">
      <c r="A33" s="114" t="s">
        <v>48</v>
      </c>
      <c r="B33" s="115">
        <f t="shared" ref="B33:C33" ca="1" si="21">SUM(AS:AS)</f>
        <v>0</v>
      </c>
      <c r="C33" s="116">
        <f t="shared" ca="1" si="21"/>
        <v>0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0</v>
      </c>
      <c r="C35" s="116">
        <f t="shared" ca="1" si="23"/>
        <v>0</v>
      </c>
    </row>
    <row r="36" spans="1:67" ht="12.75">
      <c r="A36" s="117" t="s">
        <v>32</v>
      </c>
      <c r="B36" s="118">
        <f t="shared" ref="B36:C36" ca="1" si="24">SUM(B31:B35)</f>
        <v>1</v>
      </c>
      <c r="C36" s="119">
        <f t="shared" ca="1" si="24"/>
        <v>1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192</v>
      </c>
      <c r="C38" s="124">
        <f t="shared" ca="1" si="26"/>
        <v>174</v>
      </c>
    </row>
    <row r="39" spans="1:67" ht="15">
      <c r="A39" s="126" t="s">
        <v>20</v>
      </c>
      <c r="B39" s="127">
        <f t="shared" ref="B39:C39" ca="1" si="27">SUM(B15,B24,B29,B36,B37,B38)</f>
        <v>221</v>
      </c>
      <c r="C39" s="128">
        <f t="shared" ca="1" si="27"/>
        <v>211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21"/>
  <sheetViews>
    <sheetView view="pageBreakPreview" zoomScale="80" zoomScaleNormal="100" zoomScaleSheetLayoutView="80" workbookViewId="0">
      <selection activeCell="S11" sqref="S11"/>
    </sheetView>
  </sheetViews>
  <sheetFormatPr defaultColWidth="8.85546875" defaultRowHeight="27.75"/>
  <cols>
    <col min="1" max="1" width="8.85546875" style="597"/>
    <col min="2" max="3" width="9.28515625" style="597" customWidth="1"/>
    <col min="4" max="4" width="10.28515625" style="597" customWidth="1"/>
    <col min="5" max="7" width="8.85546875" style="597"/>
    <col min="8" max="9" width="14.42578125" style="597" customWidth="1"/>
    <col min="10" max="10" width="14.7109375" style="597" customWidth="1"/>
    <col min="11" max="16384" width="8.85546875" style="401"/>
  </cols>
  <sheetData>
    <row r="1" spans="1:10" ht="30.75">
      <c r="A1" s="651" t="s">
        <v>123</v>
      </c>
      <c r="B1" s="651"/>
      <c r="C1" s="651"/>
      <c r="D1" s="651"/>
      <c r="E1" s="651"/>
      <c r="F1" s="651"/>
      <c r="G1" s="651"/>
      <c r="H1" s="651"/>
      <c r="I1" s="651"/>
      <c r="J1" s="651"/>
    </row>
    <row r="2" spans="1:10" ht="30.75">
      <c r="A2" s="652" t="s">
        <v>111</v>
      </c>
      <c r="B2" s="652"/>
      <c r="C2" s="652"/>
      <c r="D2" s="652"/>
      <c r="E2" s="652"/>
      <c r="F2" s="652"/>
      <c r="G2" s="652"/>
      <c r="H2" s="652"/>
      <c r="I2" s="652"/>
      <c r="J2" s="652"/>
    </row>
    <row r="3" spans="1:10" ht="16.149999999999999" customHeight="1" thickBot="1"/>
    <row r="4" spans="1:10" ht="31.5" thickBot="1">
      <c r="A4" s="655" t="s">
        <v>56</v>
      </c>
      <c r="B4" s="653" t="s">
        <v>116</v>
      </c>
      <c r="C4" s="653"/>
      <c r="D4" s="654"/>
      <c r="E4" s="657" t="s">
        <v>57</v>
      </c>
      <c r="F4" s="658"/>
      <c r="G4" s="659"/>
      <c r="H4" s="660" t="s">
        <v>58</v>
      </c>
      <c r="I4" s="661"/>
      <c r="J4" s="618" t="s">
        <v>32</v>
      </c>
    </row>
    <row r="5" spans="1:10" ht="31.5" thickBot="1">
      <c r="A5" s="656"/>
      <c r="B5" s="611" t="s">
        <v>21</v>
      </c>
      <c r="C5" s="612" t="s">
        <v>117</v>
      </c>
      <c r="D5" s="615" t="s">
        <v>53</v>
      </c>
      <c r="E5" s="611" t="s">
        <v>21</v>
      </c>
      <c r="F5" s="612" t="s">
        <v>117</v>
      </c>
      <c r="G5" s="616" t="s">
        <v>53</v>
      </c>
      <c r="H5" s="613" t="s">
        <v>118</v>
      </c>
      <c r="I5" s="617" t="s">
        <v>53</v>
      </c>
      <c r="J5" s="619" t="s">
        <v>53</v>
      </c>
    </row>
    <row r="6" spans="1:10">
      <c r="A6" s="623" t="s">
        <v>124</v>
      </c>
      <c r="B6" s="606">
        <v>530</v>
      </c>
      <c r="C6" s="602">
        <v>639</v>
      </c>
      <c r="D6" s="603">
        <v>489.5</v>
      </c>
      <c r="E6" s="606">
        <v>26</v>
      </c>
      <c r="F6" s="602">
        <v>27</v>
      </c>
      <c r="G6" s="608">
        <v>89</v>
      </c>
      <c r="H6" s="602">
        <v>588</v>
      </c>
      <c r="I6" s="603">
        <v>2313.13</v>
      </c>
      <c r="J6" s="603">
        <f>SUM(D6,G6,I6)</f>
        <v>2891.63</v>
      </c>
    </row>
    <row r="7" spans="1:10">
      <c r="A7" s="624" t="s">
        <v>9</v>
      </c>
      <c r="B7" s="599">
        <v>1127</v>
      </c>
      <c r="C7" s="600">
        <v>1263</v>
      </c>
      <c r="D7" s="604">
        <v>1415</v>
      </c>
      <c r="E7" s="599">
        <v>51</v>
      </c>
      <c r="F7" s="600">
        <v>50</v>
      </c>
      <c r="G7" s="609">
        <v>155</v>
      </c>
      <c r="H7" s="600">
        <v>640</v>
      </c>
      <c r="I7" s="604">
        <v>3600.15</v>
      </c>
      <c r="J7" s="621">
        <f>SUM(D7,G7,I7)</f>
        <v>5170.1499999999996</v>
      </c>
    </row>
    <row r="8" spans="1:10">
      <c r="A8" s="624" t="s">
        <v>4</v>
      </c>
      <c r="B8" s="599">
        <v>1358</v>
      </c>
      <c r="C8" s="600">
        <v>1525</v>
      </c>
      <c r="D8" s="604">
        <v>1556</v>
      </c>
      <c r="E8" s="599">
        <v>16</v>
      </c>
      <c r="F8" s="600">
        <v>21</v>
      </c>
      <c r="G8" s="609">
        <v>52</v>
      </c>
      <c r="H8" s="600">
        <v>576</v>
      </c>
      <c r="I8" s="604">
        <v>2110.98</v>
      </c>
      <c r="J8" s="604">
        <f t="shared" ref="J8:J21" si="0">SUM(D8,G8,I8)</f>
        <v>3718.98</v>
      </c>
    </row>
    <row r="9" spans="1:10">
      <c r="A9" s="624" t="s">
        <v>2</v>
      </c>
      <c r="B9" s="599">
        <v>1558</v>
      </c>
      <c r="C9" s="600">
        <v>1680</v>
      </c>
      <c r="D9" s="604">
        <v>2374</v>
      </c>
      <c r="E9" s="599">
        <v>24</v>
      </c>
      <c r="F9" s="600">
        <v>24</v>
      </c>
      <c r="G9" s="609">
        <v>58</v>
      </c>
      <c r="H9" s="600">
        <v>331</v>
      </c>
      <c r="I9" s="604">
        <v>1795.47</v>
      </c>
      <c r="J9" s="622">
        <f t="shared" si="0"/>
        <v>4227.47</v>
      </c>
    </row>
    <row r="10" spans="1:10">
      <c r="A10" s="624" t="s">
        <v>0</v>
      </c>
      <c r="B10" s="599">
        <v>4892</v>
      </c>
      <c r="C10" s="600">
        <v>5196</v>
      </c>
      <c r="D10" s="604">
        <v>5724.5</v>
      </c>
      <c r="E10" s="599">
        <v>55</v>
      </c>
      <c r="F10" s="600">
        <v>54</v>
      </c>
      <c r="G10" s="609">
        <v>191</v>
      </c>
      <c r="H10" s="600">
        <v>656</v>
      </c>
      <c r="I10" s="604">
        <v>2855.47</v>
      </c>
      <c r="J10" s="620">
        <f t="shared" si="0"/>
        <v>8770.9699999999993</v>
      </c>
    </row>
    <row r="11" spans="1:10">
      <c r="A11" s="624" t="s">
        <v>14</v>
      </c>
      <c r="B11" s="599">
        <v>572</v>
      </c>
      <c r="C11" s="600">
        <v>474</v>
      </c>
      <c r="D11" s="604">
        <v>897.5</v>
      </c>
      <c r="E11" s="599">
        <v>25</v>
      </c>
      <c r="F11" s="600">
        <v>26</v>
      </c>
      <c r="G11" s="609">
        <v>78</v>
      </c>
      <c r="H11" s="600">
        <v>563</v>
      </c>
      <c r="I11" s="604">
        <v>1877.6</v>
      </c>
      <c r="J11" s="604">
        <f t="shared" si="0"/>
        <v>2853.1</v>
      </c>
    </row>
    <row r="12" spans="1:10">
      <c r="A12" s="624" t="s">
        <v>15</v>
      </c>
      <c r="B12" s="599">
        <v>787</v>
      </c>
      <c r="C12" s="600">
        <v>855</v>
      </c>
      <c r="D12" s="604">
        <v>778</v>
      </c>
      <c r="E12" s="599">
        <v>12</v>
      </c>
      <c r="F12" s="600">
        <v>12</v>
      </c>
      <c r="G12" s="609">
        <v>40</v>
      </c>
      <c r="H12" s="600">
        <v>348</v>
      </c>
      <c r="I12" s="604">
        <v>980.09</v>
      </c>
      <c r="J12" s="604">
        <f t="shared" si="0"/>
        <v>1798.0900000000001</v>
      </c>
    </row>
    <row r="13" spans="1:10">
      <c r="A13" s="624" t="s">
        <v>1</v>
      </c>
      <c r="B13" s="599">
        <v>1018</v>
      </c>
      <c r="C13" s="600">
        <v>1185</v>
      </c>
      <c r="D13" s="604">
        <v>1221.5</v>
      </c>
      <c r="E13" s="599">
        <v>26</v>
      </c>
      <c r="F13" s="600">
        <v>27</v>
      </c>
      <c r="G13" s="609">
        <v>77</v>
      </c>
      <c r="H13" s="600">
        <v>402</v>
      </c>
      <c r="I13" s="604">
        <v>1579.43</v>
      </c>
      <c r="J13" s="604">
        <f t="shared" si="0"/>
        <v>2877.9300000000003</v>
      </c>
    </row>
    <row r="14" spans="1:10">
      <c r="A14" s="624" t="s">
        <v>3</v>
      </c>
      <c r="B14" s="599">
        <v>800</v>
      </c>
      <c r="C14" s="600">
        <v>917</v>
      </c>
      <c r="D14" s="604">
        <v>1130</v>
      </c>
      <c r="E14" s="599">
        <v>21</v>
      </c>
      <c r="F14" s="600">
        <v>21</v>
      </c>
      <c r="G14" s="609">
        <v>61</v>
      </c>
      <c r="H14" s="600">
        <v>301</v>
      </c>
      <c r="I14" s="604">
        <v>1934.79</v>
      </c>
      <c r="J14" s="604">
        <f t="shared" si="0"/>
        <v>3125.79</v>
      </c>
    </row>
    <row r="15" spans="1:10">
      <c r="A15" s="624" t="s">
        <v>8</v>
      </c>
      <c r="B15" s="599">
        <v>655</v>
      </c>
      <c r="C15" s="600">
        <v>757</v>
      </c>
      <c r="D15" s="604">
        <v>743.5</v>
      </c>
      <c r="E15" s="599">
        <v>20</v>
      </c>
      <c r="F15" s="600">
        <v>25</v>
      </c>
      <c r="G15" s="609">
        <v>82</v>
      </c>
      <c r="H15" s="600">
        <v>305</v>
      </c>
      <c r="I15" s="604">
        <v>684.84</v>
      </c>
      <c r="J15" s="604">
        <f t="shared" si="0"/>
        <v>1510.3400000000001</v>
      </c>
    </row>
    <row r="16" spans="1:10">
      <c r="A16" s="624" t="s">
        <v>125</v>
      </c>
      <c r="B16" s="599">
        <v>281</v>
      </c>
      <c r="C16" s="600">
        <v>464</v>
      </c>
      <c r="D16" s="604">
        <v>424.5</v>
      </c>
      <c r="E16" s="599">
        <v>44</v>
      </c>
      <c r="F16" s="600">
        <v>51</v>
      </c>
      <c r="G16" s="609">
        <v>156</v>
      </c>
      <c r="H16" s="600">
        <v>864</v>
      </c>
      <c r="I16" s="604">
        <v>3192.91</v>
      </c>
      <c r="J16" s="626">
        <f t="shared" si="0"/>
        <v>3773.41</v>
      </c>
    </row>
    <row r="17" spans="1:10">
      <c r="A17" s="624" t="s">
        <v>119</v>
      </c>
      <c r="B17" s="599">
        <v>100</v>
      </c>
      <c r="C17" s="600">
        <v>126</v>
      </c>
      <c r="D17" s="604">
        <v>144.5</v>
      </c>
      <c r="E17" s="599">
        <v>91</v>
      </c>
      <c r="F17" s="600">
        <v>103</v>
      </c>
      <c r="G17" s="609">
        <v>248</v>
      </c>
      <c r="H17" s="600">
        <v>315</v>
      </c>
      <c r="I17" s="604">
        <v>833.64</v>
      </c>
      <c r="J17" s="604">
        <f t="shared" si="0"/>
        <v>1226.1399999999999</v>
      </c>
    </row>
    <row r="18" spans="1:10">
      <c r="A18" s="624" t="s">
        <v>120</v>
      </c>
      <c r="B18" s="599">
        <v>29</v>
      </c>
      <c r="C18" s="600">
        <v>37</v>
      </c>
      <c r="D18" s="604">
        <v>54.5</v>
      </c>
      <c r="E18" s="599">
        <v>5</v>
      </c>
      <c r="F18" s="600">
        <v>3</v>
      </c>
      <c r="G18" s="609">
        <v>25</v>
      </c>
      <c r="H18" s="600">
        <v>195</v>
      </c>
      <c r="I18" s="604">
        <v>473.11</v>
      </c>
      <c r="J18" s="604">
        <f t="shared" si="0"/>
        <v>552.61</v>
      </c>
    </row>
    <row r="19" spans="1:10">
      <c r="A19" s="624" t="s">
        <v>7</v>
      </c>
      <c r="B19" s="599">
        <v>900</v>
      </c>
      <c r="C19" s="600">
        <v>1215</v>
      </c>
      <c r="D19" s="604">
        <v>709.5</v>
      </c>
      <c r="E19" s="599">
        <v>9</v>
      </c>
      <c r="F19" s="600">
        <v>11</v>
      </c>
      <c r="G19" s="609">
        <v>22</v>
      </c>
      <c r="H19" s="600">
        <v>373</v>
      </c>
      <c r="I19" s="604">
        <v>469.85</v>
      </c>
      <c r="J19" s="604">
        <f t="shared" si="0"/>
        <v>1201.3499999999999</v>
      </c>
    </row>
    <row r="20" spans="1:10">
      <c r="A20" s="624" t="s">
        <v>121</v>
      </c>
      <c r="B20" s="599">
        <v>129</v>
      </c>
      <c r="C20" s="600">
        <v>153</v>
      </c>
      <c r="D20" s="604">
        <v>176</v>
      </c>
      <c r="E20" s="599">
        <v>4</v>
      </c>
      <c r="F20" s="600">
        <v>4</v>
      </c>
      <c r="G20" s="609">
        <v>14</v>
      </c>
      <c r="H20" s="600">
        <v>209</v>
      </c>
      <c r="I20" s="604">
        <v>321.54000000000002</v>
      </c>
      <c r="J20" s="604">
        <f t="shared" si="0"/>
        <v>511.54</v>
      </c>
    </row>
    <row r="21" spans="1:10" ht="28.5" thickBot="1">
      <c r="A21" s="625" t="s">
        <v>122</v>
      </c>
      <c r="B21" s="607">
        <v>42</v>
      </c>
      <c r="C21" s="601">
        <v>114</v>
      </c>
      <c r="D21" s="605">
        <v>47</v>
      </c>
      <c r="E21" s="607" t="s">
        <v>126</v>
      </c>
      <c r="F21" s="601" t="s">
        <v>126</v>
      </c>
      <c r="G21" s="610" t="s">
        <v>126</v>
      </c>
      <c r="H21" s="601">
        <v>9</v>
      </c>
      <c r="I21" s="605">
        <v>22</v>
      </c>
      <c r="J21" s="605">
        <f t="shared" si="0"/>
        <v>69</v>
      </c>
    </row>
  </sheetData>
  <mergeCells count="6">
    <mergeCell ref="A1:J1"/>
    <mergeCell ref="A2:J2"/>
    <mergeCell ref="B4:D4"/>
    <mergeCell ref="A4:A5"/>
    <mergeCell ref="E4:G4"/>
    <mergeCell ref="H4:I4"/>
  </mergeCells>
  <phoneticPr fontId="18" type="noConversion"/>
  <pageMargins left="0.7" right="0.7" top="0.75" bottom="0.75" header="0.3" footer="0.3"/>
  <pageSetup paperSize="9" scale="8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/>
      <c r="C2" s="102" t="s">
        <v>72</v>
      </c>
      <c r="D2" s="103" t="str">
        <f ca="1">IFERROR(__xludf.DUMMYFUNCTION("QUERY('Form Responses 1'!A:BE,""select * where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7</v>
      </c>
      <c r="B3" s="105" t="s">
        <v>73</v>
      </c>
      <c r="C3" s="106" t="s">
        <v>73</v>
      </c>
      <c r="D3" s="107">
        <f ca="1">IFERROR(__xludf.DUMMYFUNCTION("""COMPUTED_VALUE"""),44463.4142309027)</f>
        <v>44463.414230902701</v>
      </c>
      <c r="E3" s="103" t="str">
        <f ca="1">IFERROR(__xludf.DUMMYFUNCTION("""COMPUTED_VALUE"""),"imm@rtp.com")</f>
        <v>imm@rtp.com</v>
      </c>
      <c r="F3" s="108" t="str">
        <f ca="1">IFERROR(__xludf.DUMMYFUNCTION("""COMPUTED_VALUE"""),"rtp2021")</f>
        <v>rtp2021</v>
      </c>
      <c r="G3" s="103"/>
      <c r="H3" s="108" t="str">
        <f ca="1">IFERROR(__xludf.DUMMYFUNCTION("""COMPUTED_VALUE"""),"สตม.")</f>
        <v>สตม.</v>
      </c>
      <c r="I3" s="108">
        <f ca="1">IFERROR(__xludf.DUMMYFUNCTION("""COMPUTED_VALUE"""),0)</f>
        <v>0</v>
      </c>
      <c r="J3" s="108">
        <f ca="1">IFERROR(__xludf.DUMMYFUNCTION("""COMPUTED_VALUE"""),0)</f>
        <v>0</v>
      </c>
      <c r="K3" s="108">
        <f ca="1">IFERROR(__xludf.DUMMYFUNCTION("""COMPUTED_VALUE"""),0)</f>
        <v>0</v>
      </c>
      <c r="L3" s="108">
        <f ca="1">IFERROR(__xludf.DUMMYFUNCTION("""COMPUTED_VALUE"""),0)</f>
        <v>0</v>
      </c>
      <c r="M3" s="108">
        <f ca="1">IFERROR(__xludf.DUMMYFUNCTION("""COMPUTED_VALUE"""),0)</f>
        <v>0</v>
      </c>
      <c r="N3" s="108">
        <f ca="1">IFERROR(__xludf.DUMMYFUNCTION("""COMPUTED_VALUE"""),0)</f>
        <v>0</v>
      </c>
      <c r="O3" s="108">
        <f ca="1">IFERROR(__xludf.DUMMYFUNCTION("""COMPUTED_VALUE"""),0)</f>
        <v>0</v>
      </c>
      <c r="P3" s="108">
        <f ca="1">IFERROR(__xludf.DUMMYFUNCTION("""COMPUTED_VALUE"""),0)</f>
        <v>0</v>
      </c>
      <c r="Q3" s="108">
        <f ca="1">IFERROR(__xludf.DUMMYFUNCTION("""COMPUTED_VALUE"""),0)</f>
        <v>0</v>
      </c>
      <c r="R3" s="108">
        <f ca="1">IFERROR(__xludf.DUMMYFUNCTION("""COMPUTED_VALUE"""),0)</f>
        <v>0</v>
      </c>
      <c r="S3" s="108">
        <f ca="1">IFERROR(__xludf.DUMMYFUNCTION("""COMPUTED_VALUE"""),0)</f>
        <v>0</v>
      </c>
      <c r="T3" s="108">
        <f ca="1">IFERROR(__xludf.DUMMYFUNCTION("""COMPUTED_VALUE"""),0)</f>
        <v>0</v>
      </c>
      <c r="U3" s="108">
        <f ca="1">IFERROR(__xludf.DUMMYFUNCTION("""COMPUTED_VALUE"""),0)</f>
        <v>0</v>
      </c>
      <c r="V3" s="108">
        <f ca="1">IFERROR(__xludf.DUMMYFUNCTION("""COMPUTED_VALUE"""),0)</f>
        <v>0</v>
      </c>
      <c r="W3" s="108">
        <f ca="1">IFERROR(__xludf.DUMMYFUNCTION("""COMPUTED_VALUE"""),0)</f>
        <v>0</v>
      </c>
      <c r="X3" s="108">
        <f ca="1">IFERROR(__xludf.DUMMYFUNCTION("""COMPUTED_VALUE"""),0)</f>
        <v>0</v>
      </c>
      <c r="Y3" s="108">
        <f ca="1">IFERROR(__xludf.DUMMYFUNCTION("""COMPUTED_VALUE"""),0)</f>
        <v>0</v>
      </c>
      <c r="Z3" s="108">
        <f ca="1">IFERROR(__xludf.DUMMYFUNCTION("""COMPUTED_VALUE"""),0)</f>
        <v>0</v>
      </c>
      <c r="AA3" s="108">
        <f ca="1">IFERROR(__xludf.DUMMYFUNCTION("""COMPUTED_VALUE"""),0)</f>
        <v>0</v>
      </c>
      <c r="AB3" s="108">
        <f ca="1">IFERROR(__xludf.DUMMYFUNCTION("""COMPUTED_VALUE"""),0)</f>
        <v>0</v>
      </c>
      <c r="AC3" s="108">
        <f ca="1">IFERROR(__xludf.DUMMYFUNCTION("""COMPUTED_VALUE"""),2)</f>
        <v>2</v>
      </c>
      <c r="AD3" s="108">
        <f ca="1">IFERROR(__xludf.DUMMYFUNCTION("""COMPUTED_VALUE"""),1)</f>
        <v>1</v>
      </c>
      <c r="AE3" s="108">
        <f ca="1">IFERROR(__xludf.DUMMYFUNCTION("""COMPUTED_VALUE"""),2)</f>
        <v>2</v>
      </c>
      <c r="AF3" s="108">
        <f ca="1">IFERROR(__xludf.DUMMYFUNCTION("""COMPUTED_VALUE"""),2)</f>
        <v>2</v>
      </c>
      <c r="AG3" s="108">
        <f ca="1">IFERROR(__xludf.DUMMYFUNCTION("""COMPUTED_VALUE"""),3)</f>
        <v>3</v>
      </c>
      <c r="AH3" s="108">
        <f ca="1">IFERROR(__xludf.DUMMYFUNCTION("""COMPUTED_VALUE"""),3)</f>
        <v>3</v>
      </c>
      <c r="AI3" s="108">
        <f ca="1">IFERROR(__xludf.DUMMYFUNCTION("""COMPUTED_VALUE"""),0)</f>
        <v>0</v>
      </c>
      <c r="AJ3" s="108">
        <f ca="1">IFERROR(__xludf.DUMMYFUNCTION("""COMPUTED_VALUE"""),0)</f>
        <v>0</v>
      </c>
      <c r="AK3" s="108">
        <f ca="1">IFERROR(__xludf.DUMMYFUNCTION("""COMPUTED_VALUE"""),0)</f>
        <v>0</v>
      </c>
      <c r="AL3" s="108">
        <f ca="1">IFERROR(__xludf.DUMMYFUNCTION("""COMPUTED_VALUE"""),0)</f>
        <v>0</v>
      </c>
      <c r="AM3" s="108">
        <f ca="1">IFERROR(__xludf.DUMMYFUNCTION("""COMPUTED_VALUE"""),6)</f>
        <v>6</v>
      </c>
      <c r="AN3" s="108">
        <f ca="1">IFERROR(__xludf.DUMMYFUNCTION("""COMPUTED_VALUE"""),12)</f>
        <v>12</v>
      </c>
      <c r="AO3" s="108">
        <f ca="1">IFERROR(__xludf.DUMMYFUNCTION("""COMPUTED_VALUE"""),0)</f>
        <v>0</v>
      </c>
      <c r="AP3" s="108">
        <f ca="1">IFERROR(__xludf.DUMMYFUNCTION("""COMPUTED_VALUE"""),0)</f>
        <v>0</v>
      </c>
      <c r="AQ3" s="108">
        <f ca="1">IFERROR(__xludf.DUMMYFUNCTION("""COMPUTED_VALUE"""),0)</f>
        <v>0</v>
      </c>
      <c r="AR3" s="108">
        <f ca="1">IFERROR(__xludf.DUMMYFUNCTION("""COMPUTED_VALUE"""),0)</f>
        <v>0</v>
      </c>
      <c r="AS3" s="108">
        <f ca="1">IFERROR(__xludf.DUMMYFUNCTION("""COMPUTED_VALUE"""),0)</f>
        <v>0</v>
      </c>
      <c r="AT3" s="108">
        <f ca="1">IFERROR(__xludf.DUMMYFUNCTION("""COMPUTED_VALUE"""),0)</f>
        <v>0</v>
      </c>
      <c r="AU3" s="108">
        <f ca="1">IFERROR(__xludf.DUMMYFUNCTION("""COMPUTED_VALUE"""),0)</f>
        <v>0</v>
      </c>
      <c r="AV3" s="108">
        <f ca="1">IFERROR(__xludf.DUMMYFUNCTION("""COMPUTED_VALUE"""),0)</f>
        <v>0</v>
      </c>
      <c r="AW3" s="108">
        <f ca="1">IFERROR(__xludf.DUMMYFUNCTION("""COMPUTED_VALUE"""),0)</f>
        <v>0</v>
      </c>
      <c r="AX3" s="108">
        <f ca="1">IFERROR(__xludf.DUMMYFUNCTION("""COMPUTED_VALUE"""),0)</f>
        <v>0</v>
      </c>
      <c r="AY3" s="108">
        <f ca="1">IFERROR(__xludf.DUMMYFUNCTION("""COMPUTED_VALUE"""),0)</f>
        <v>0</v>
      </c>
      <c r="AZ3" s="108">
        <f ca="1">IFERROR(__xludf.DUMMYFUNCTION("""COMPUTED_VALUE"""),0)</f>
        <v>0</v>
      </c>
      <c r="BA3" s="108">
        <f ca="1">IFERROR(__xludf.DUMMYFUNCTION("""COMPUTED_VALUE"""),6)</f>
        <v>6</v>
      </c>
      <c r="BB3" s="108">
        <f ca="1">IFERROR(__xludf.DUMMYFUNCTION("""COMPUTED_VALUE"""),6)</f>
        <v>6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  <c r="D4" s="107">
        <f ca="1">IFERROR(__xludf.DUMMYFUNCTION("""COMPUTED_VALUE"""),44464.3315893865)</f>
        <v>44464.3315893865</v>
      </c>
      <c r="E4" s="103" t="str">
        <f ca="1">IFERROR(__xludf.DUMMYFUNCTION("""COMPUTED_VALUE"""),"imm@rtp.com")</f>
        <v>imm@rtp.com</v>
      </c>
      <c r="F4" s="103" t="str">
        <f ca="1">IFERROR(__xludf.DUMMYFUNCTION("""COMPUTED_VALUE"""),"rtp2021")</f>
        <v>rtp2021</v>
      </c>
      <c r="G4" s="103"/>
      <c r="H4" s="103" t="str">
        <f ca="1">IFERROR(__xludf.DUMMYFUNCTION("""COMPUTED_VALUE"""),"สตม.")</f>
        <v>สตม.</v>
      </c>
      <c r="I4" s="103">
        <f ca="1">IFERROR(__xludf.DUMMYFUNCTION("""COMPUTED_VALUE"""),0)</f>
        <v>0</v>
      </c>
      <c r="J4" s="103">
        <f ca="1">IFERROR(__xludf.DUMMYFUNCTION("""COMPUTED_VALUE"""),0)</f>
        <v>0</v>
      </c>
      <c r="K4" s="103">
        <f ca="1">IFERROR(__xludf.DUMMYFUNCTION("""COMPUTED_VALUE"""),0)</f>
        <v>0</v>
      </c>
      <c r="L4" s="103">
        <f ca="1">IFERROR(__xludf.DUMMYFUNCTION("""COMPUTED_VALUE"""),0)</f>
        <v>0</v>
      </c>
      <c r="M4" s="103">
        <f ca="1">IFERROR(__xludf.DUMMYFUNCTION("""COMPUTED_VALUE"""),0)</f>
        <v>0</v>
      </c>
      <c r="N4" s="103">
        <f ca="1">IFERROR(__xludf.DUMMYFUNCTION("""COMPUTED_VALUE"""),0)</f>
        <v>0</v>
      </c>
      <c r="O4" s="103">
        <f ca="1">IFERROR(__xludf.DUMMYFUNCTION("""COMPUTED_VALUE"""),0)</f>
        <v>0</v>
      </c>
      <c r="P4" s="103">
        <f ca="1">IFERROR(__xludf.DUMMYFUNCTION("""COMPUTED_VALUE"""),0)</f>
        <v>0</v>
      </c>
      <c r="Q4" s="103">
        <f ca="1">IFERROR(__xludf.DUMMYFUNCTION("""COMPUTED_VALUE"""),0)</f>
        <v>0</v>
      </c>
      <c r="R4" s="103">
        <f ca="1">IFERROR(__xludf.DUMMYFUNCTION("""COMPUTED_VALUE"""),0)</f>
        <v>0</v>
      </c>
      <c r="S4" s="103">
        <f ca="1">IFERROR(__xludf.DUMMYFUNCTION("""COMPUTED_VALUE"""),0)</f>
        <v>0</v>
      </c>
      <c r="T4" s="103">
        <f ca="1">IFERROR(__xludf.DUMMYFUNCTION("""COMPUTED_VALUE"""),0)</f>
        <v>0</v>
      </c>
      <c r="U4" s="103">
        <f ca="1">IFERROR(__xludf.DUMMYFUNCTION("""COMPUTED_VALUE"""),0)</f>
        <v>0</v>
      </c>
      <c r="V4" s="103">
        <f ca="1">IFERROR(__xludf.DUMMYFUNCTION("""COMPUTED_VALUE"""),0)</f>
        <v>0</v>
      </c>
      <c r="W4" s="103">
        <f ca="1">IFERROR(__xludf.DUMMYFUNCTION("""COMPUTED_VALUE"""),0)</f>
        <v>0</v>
      </c>
      <c r="X4" s="103">
        <f ca="1">IFERROR(__xludf.DUMMYFUNCTION("""COMPUTED_VALUE"""),0)</f>
        <v>0</v>
      </c>
      <c r="Y4" s="103">
        <f ca="1">IFERROR(__xludf.DUMMYFUNCTION("""COMPUTED_VALUE"""),0)</f>
        <v>0</v>
      </c>
      <c r="Z4" s="103">
        <f ca="1">IFERROR(__xludf.DUMMYFUNCTION("""COMPUTED_VALUE"""),0)</f>
        <v>0</v>
      </c>
      <c r="AA4" s="103">
        <f ca="1">IFERROR(__xludf.DUMMYFUNCTION("""COMPUTED_VALUE"""),0)</f>
        <v>0</v>
      </c>
      <c r="AB4" s="103">
        <f ca="1">IFERROR(__xludf.DUMMYFUNCTION("""COMPUTED_VALUE"""),0)</f>
        <v>0</v>
      </c>
      <c r="AC4" s="103">
        <f ca="1">IFERROR(__xludf.DUMMYFUNCTION("""COMPUTED_VALUE"""),6)</f>
        <v>6</v>
      </c>
      <c r="AD4" s="103">
        <f ca="1">IFERROR(__xludf.DUMMYFUNCTION("""COMPUTED_VALUE"""),5)</f>
        <v>5</v>
      </c>
      <c r="AE4" s="103">
        <f ca="1">IFERROR(__xludf.DUMMYFUNCTION("""COMPUTED_VALUE"""),6)</f>
        <v>6</v>
      </c>
      <c r="AF4" s="103">
        <f ca="1">IFERROR(__xludf.DUMMYFUNCTION("""COMPUTED_VALUE"""),14)</f>
        <v>14</v>
      </c>
      <c r="AG4" s="103">
        <f ca="1">IFERROR(__xludf.DUMMYFUNCTION("""COMPUTED_VALUE"""),7)</f>
        <v>7</v>
      </c>
      <c r="AH4" s="103">
        <f ca="1">IFERROR(__xludf.DUMMYFUNCTION("""COMPUTED_VALUE"""),7)</f>
        <v>7</v>
      </c>
      <c r="AI4" s="103">
        <f ca="1">IFERROR(__xludf.DUMMYFUNCTION("""COMPUTED_VALUE"""),0)</f>
        <v>0</v>
      </c>
      <c r="AJ4" s="103">
        <f ca="1">IFERROR(__xludf.DUMMYFUNCTION("""COMPUTED_VALUE"""),0)</f>
        <v>0</v>
      </c>
      <c r="AK4" s="103">
        <f ca="1">IFERROR(__xludf.DUMMYFUNCTION("""COMPUTED_VALUE"""),5)</f>
        <v>5</v>
      </c>
      <c r="AL4" s="103">
        <f ca="1">IFERROR(__xludf.DUMMYFUNCTION("""COMPUTED_VALUE"""),5)</f>
        <v>5</v>
      </c>
      <c r="AM4" s="103">
        <f ca="1">IFERROR(__xludf.DUMMYFUNCTION("""COMPUTED_VALUE"""),16)</f>
        <v>16</v>
      </c>
      <c r="AN4" s="103">
        <f ca="1">IFERROR(__xludf.DUMMYFUNCTION("""COMPUTED_VALUE"""),45)</f>
        <v>45</v>
      </c>
      <c r="AO4" s="103">
        <f ca="1">IFERROR(__xludf.DUMMYFUNCTION("""COMPUTED_VALUE"""),0)</f>
        <v>0</v>
      </c>
      <c r="AP4" s="103">
        <f ca="1">IFERROR(__xludf.DUMMYFUNCTION("""COMPUTED_VALUE"""),0)</f>
        <v>0</v>
      </c>
      <c r="AQ4" s="103">
        <f ca="1">IFERROR(__xludf.DUMMYFUNCTION("""COMPUTED_VALUE"""),2)</f>
        <v>2</v>
      </c>
      <c r="AR4" s="103">
        <f ca="1">IFERROR(__xludf.DUMMYFUNCTION("""COMPUTED_VALUE"""),2)</f>
        <v>2</v>
      </c>
      <c r="AS4" s="103">
        <f ca="1">IFERROR(__xludf.DUMMYFUNCTION("""COMPUTED_VALUE"""),0)</f>
        <v>0</v>
      </c>
      <c r="AT4" s="103">
        <f ca="1">IFERROR(__xludf.DUMMYFUNCTION("""COMPUTED_VALUE"""),0)</f>
        <v>0</v>
      </c>
      <c r="AU4" s="103">
        <f ca="1">IFERROR(__xludf.DUMMYFUNCTION("""COMPUTED_VALUE"""),0)</f>
        <v>0</v>
      </c>
      <c r="AV4" s="103">
        <f ca="1">IFERROR(__xludf.DUMMYFUNCTION("""COMPUTED_VALUE"""),0)</f>
        <v>0</v>
      </c>
      <c r="AW4" s="103">
        <f ca="1">IFERROR(__xludf.DUMMYFUNCTION("""COMPUTED_VALUE"""),0)</f>
        <v>0</v>
      </c>
      <c r="AX4" s="103">
        <f ca="1">IFERROR(__xludf.DUMMYFUNCTION("""COMPUTED_VALUE"""),0)</f>
        <v>0</v>
      </c>
      <c r="AY4" s="103">
        <f ca="1">IFERROR(__xludf.DUMMYFUNCTION("""COMPUTED_VALUE"""),0)</f>
        <v>0</v>
      </c>
      <c r="AZ4" s="103">
        <f ca="1">IFERROR(__xludf.DUMMYFUNCTION("""COMPUTED_VALUE"""),0)</f>
        <v>0</v>
      </c>
      <c r="BA4" s="103">
        <f ca="1">IFERROR(__xludf.DUMMYFUNCTION("""COMPUTED_VALUE"""),16)</f>
        <v>16</v>
      </c>
      <c r="BB4" s="103">
        <f ca="1">IFERROR(__xludf.DUMMYFUNCTION("""COMPUTED_VALUE"""),16)</f>
        <v>16</v>
      </c>
      <c r="BC4" s="103"/>
      <c r="BD4" s="103"/>
      <c r="BE4" s="103"/>
      <c r="BF4" s="103"/>
      <c r="BG4" s="103"/>
      <c r="BH4" s="103"/>
    </row>
    <row r="5" spans="1:67" ht="12.75">
      <c r="A5" s="638"/>
      <c r="B5" s="109" t="s">
        <v>21</v>
      </c>
      <c r="C5" s="110" t="s">
        <v>22</v>
      </c>
      <c r="D5" s="107">
        <f ca="1">IFERROR(__xludf.DUMMYFUNCTION("""COMPUTED_VALUE"""),44465.3237017361)</f>
        <v>44465.323701736103</v>
      </c>
      <c r="E5" s="103" t="str">
        <f ca="1">IFERROR(__xludf.DUMMYFUNCTION("""COMPUTED_VALUE"""),"imm@rtp.com")</f>
        <v>imm@rtp.com</v>
      </c>
      <c r="F5" s="103" t="str">
        <f ca="1">IFERROR(__xludf.DUMMYFUNCTION("""COMPUTED_VALUE"""),"rtp2021")</f>
        <v>rtp2021</v>
      </c>
      <c r="G5" s="103"/>
      <c r="H5" s="103" t="str">
        <f ca="1">IFERROR(__xludf.DUMMYFUNCTION("""COMPUTED_VALUE"""),"สตม.")</f>
        <v>สตม.</v>
      </c>
      <c r="I5" s="103">
        <f ca="1">IFERROR(__xludf.DUMMYFUNCTION("""COMPUTED_VALUE"""),0)</f>
        <v>0</v>
      </c>
      <c r="J5" s="103">
        <f ca="1">IFERROR(__xludf.DUMMYFUNCTION("""COMPUTED_VALUE"""),0)</f>
        <v>0</v>
      </c>
      <c r="K5" s="103">
        <f ca="1">IFERROR(__xludf.DUMMYFUNCTION("""COMPUTED_VALUE"""),0)</f>
        <v>0</v>
      </c>
      <c r="L5" s="103">
        <f ca="1">IFERROR(__xludf.DUMMYFUNCTION("""COMPUTED_VALUE"""),0)</f>
        <v>0</v>
      </c>
      <c r="M5" s="103">
        <f ca="1">IFERROR(__xludf.DUMMYFUNCTION("""COMPUTED_VALUE"""),0)</f>
        <v>0</v>
      </c>
      <c r="N5" s="103">
        <f ca="1">IFERROR(__xludf.DUMMYFUNCTION("""COMPUTED_VALUE"""),0)</f>
        <v>0</v>
      </c>
      <c r="O5" s="103">
        <f ca="1">IFERROR(__xludf.DUMMYFUNCTION("""COMPUTED_VALUE"""),1)</f>
        <v>1</v>
      </c>
      <c r="P5" s="103">
        <f ca="1">IFERROR(__xludf.DUMMYFUNCTION("""COMPUTED_VALUE"""),1)</f>
        <v>1</v>
      </c>
      <c r="Q5" s="103">
        <f ca="1">IFERROR(__xludf.DUMMYFUNCTION("""COMPUTED_VALUE"""),1)</f>
        <v>1</v>
      </c>
      <c r="R5" s="103">
        <f ca="1">IFERROR(__xludf.DUMMYFUNCTION("""COMPUTED_VALUE"""),1)</f>
        <v>1</v>
      </c>
      <c r="S5" s="103">
        <f ca="1">IFERROR(__xludf.DUMMYFUNCTION("""COMPUTED_VALUE"""),5)</f>
        <v>5</v>
      </c>
      <c r="T5" s="103">
        <f ca="1">IFERROR(__xludf.DUMMYFUNCTION("""COMPUTED_VALUE"""),18)</f>
        <v>18</v>
      </c>
      <c r="U5" s="103">
        <f ca="1">IFERROR(__xludf.DUMMYFUNCTION("""COMPUTED_VALUE"""),1)</f>
        <v>1</v>
      </c>
      <c r="V5" s="103">
        <f ca="1">IFERROR(__xludf.DUMMYFUNCTION("""COMPUTED_VALUE"""),1)</f>
        <v>1</v>
      </c>
      <c r="W5" s="103">
        <f ca="1">IFERROR(__xludf.DUMMYFUNCTION("""COMPUTED_VALUE"""),0)</f>
        <v>0</v>
      </c>
      <c r="X5" s="103">
        <f ca="1">IFERROR(__xludf.DUMMYFUNCTION("""COMPUTED_VALUE"""),0)</f>
        <v>0</v>
      </c>
      <c r="Y5" s="103">
        <f ca="1">IFERROR(__xludf.DUMMYFUNCTION("""COMPUTED_VALUE"""),0)</f>
        <v>0</v>
      </c>
      <c r="Z5" s="103">
        <f ca="1">IFERROR(__xludf.DUMMYFUNCTION("""COMPUTED_VALUE"""),0)</f>
        <v>0</v>
      </c>
      <c r="AA5" s="103">
        <f ca="1">IFERROR(__xludf.DUMMYFUNCTION("""COMPUTED_VALUE"""),0)</f>
        <v>0</v>
      </c>
      <c r="AB5" s="103">
        <f ca="1">IFERROR(__xludf.DUMMYFUNCTION("""COMPUTED_VALUE"""),0)</f>
        <v>0</v>
      </c>
      <c r="AC5" s="103">
        <f ca="1">IFERROR(__xludf.DUMMYFUNCTION("""COMPUTED_VALUE"""),4)</f>
        <v>4</v>
      </c>
      <c r="AD5" s="103">
        <f ca="1">IFERROR(__xludf.DUMMYFUNCTION("""COMPUTED_VALUE"""),4)</f>
        <v>4</v>
      </c>
      <c r="AE5" s="103">
        <f ca="1">IFERROR(__xludf.DUMMYFUNCTION("""COMPUTED_VALUE"""),6)</f>
        <v>6</v>
      </c>
      <c r="AF5" s="103">
        <f ca="1">IFERROR(__xludf.DUMMYFUNCTION("""COMPUTED_VALUE"""),6)</f>
        <v>6</v>
      </c>
      <c r="AG5" s="103">
        <f ca="1">IFERROR(__xludf.DUMMYFUNCTION("""COMPUTED_VALUE"""),5)</f>
        <v>5</v>
      </c>
      <c r="AH5" s="103">
        <f ca="1">IFERROR(__xludf.DUMMYFUNCTION("""COMPUTED_VALUE"""),5)</f>
        <v>5</v>
      </c>
      <c r="AI5" s="103">
        <f ca="1">IFERROR(__xludf.DUMMYFUNCTION("""COMPUTED_VALUE"""),0)</f>
        <v>0</v>
      </c>
      <c r="AJ5" s="103">
        <f ca="1">IFERROR(__xludf.DUMMYFUNCTION("""COMPUTED_VALUE"""),0)</f>
        <v>0</v>
      </c>
      <c r="AK5" s="103">
        <f ca="1">IFERROR(__xludf.DUMMYFUNCTION("""COMPUTED_VALUE"""),5)</f>
        <v>5</v>
      </c>
      <c r="AL5" s="103">
        <f ca="1">IFERROR(__xludf.DUMMYFUNCTION("""COMPUTED_VALUE"""),5)</f>
        <v>5</v>
      </c>
      <c r="AM5" s="103">
        <f ca="1">IFERROR(__xludf.DUMMYFUNCTION("""COMPUTED_VALUE"""),113)</f>
        <v>113</v>
      </c>
      <c r="AN5" s="103">
        <f ca="1">IFERROR(__xludf.DUMMYFUNCTION("""COMPUTED_VALUE"""),197)</f>
        <v>197</v>
      </c>
      <c r="AO5" s="103">
        <f ca="1">IFERROR(__xludf.DUMMYFUNCTION("""COMPUTED_VALUE"""),0)</f>
        <v>0</v>
      </c>
      <c r="AP5" s="103">
        <f ca="1">IFERROR(__xludf.DUMMYFUNCTION("""COMPUTED_VALUE"""),0)</f>
        <v>0</v>
      </c>
      <c r="AQ5" s="103">
        <f ca="1">IFERROR(__xludf.DUMMYFUNCTION("""COMPUTED_VALUE"""),5)</f>
        <v>5</v>
      </c>
      <c r="AR5" s="103">
        <f ca="1">IFERROR(__xludf.DUMMYFUNCTION("""COMPUTED_VALUE"""),5)</f>
        <v>5</v>
      </c>
      <c r="AS5" s="103">
        <f ca="1">IFERROR(__xludf.DUMMYFUNCTION("""COMPUTED_VALUE"""),0)</f>
        <v>0</v>
      </c>
      <c r="AT5" s="103">
        <f ca="1">IFERROR(__xludf.DUMMYFUNCTION("""COMPUTED_VALUE"""),0)</f>
        <v>0</v>
      </c>
      <c r="AU5" s="103">
        <f ca="1">IFERROR(__xludf.DUMMYFUNCTION("""COMPUTED_VALUE"""),0)</f>
        <v>0</v>
      </c>
      <c r="AV5" s="103">
        <f ca="1">IFERROR(__xludf.DUMMYFUNCTION("""COMPUTED_VALUE"""),0)</f>
        <v>0</v>
      </c>
      <c r="AW5" s="103">
        <f ca="1">IFERROR(__xludf.DUMMYFUNCTION("""COMPUTED_VALUE"""),1)</f>
        <v>1</v>
      </c>
      <c r="AX5" s="103">
        <f ca="1">IFERROR(__xludf.DUMMYFUNCTION("""COMPUTED_VALUE"""),1)</f>
        <v>1</v>
      </c>
      <c r="AY5" s="103">
        <f ca="1">IFERROR(__xludf.DUMMYFUNCTION("""COMPUTED_VALUE"""),0)</f>
        <v>0</v>
      </c>
      <c r="AZ5" s="103">
        <f ca="1">IFERROR(__xludf.DUMMYFUNCTION("""COMPUTED_VALUE"""),0)</f>
        <v>0</v>
      </c>
      <c r="BA5" s="103">
        <f ca="1">IFERROR(__xludf.DUMMYFUNCTION("""COMPUTED_VALUE"""),17)</f>
        <v>17</v>
      </c>
      <c r="BB5" s="103">
        <f ca="1">IFERROR(__xludf.DUMMYFUNCTION("""COMPUTED_VALUE"""),17)</f>
        <v>17</v>
      </c>
      <c r="BC5" s="103"/>
      <c r="BD5" s="103"/>
      <c r="BE5" s="103"/>
      <c r="BF5" s="103"/>
      <c r="BG5" s="103"/>
      <c r="BH5" s="103"/>
    </row>
    <row r="6" spans="1:67" ht="12.75">
      <c r="A6" s="111" t="s">
        <v>23</v>
      </c>
      <c r="B6" s="112"/>
      <c r="C6" s="113"/>
      <c r="D6" s="107">
        <f ca="1">IFERROR(__xludf.DUMMYFUNCTION("""COMPUTED_VALUE"""),44466.3409666203)</f>
        <v>44466.340966620301</v>
      </c>
      <c r="E6" s="103" t="str">
        <f ca="1">IFERROR(__xludf.DUMMYFUNCTION("""COMPUTED_VALUE"""),"imm@rtp.com")</f>
        <v>imm@rtp.com</v>
      </c>
      <c r="F6" s="103" t="str">
        <f ca="1">IFERROR(__xludf.DUMMYFUNCTION("""COMPUTED_VALUE"""),"rtp2021")</f>
        <v>rtp2021</v>
      </c>
      <c r="G6" s="103"/>
      <c r="H6" s="103" t="str">
        <f ca="1">IFERROR(__xludf.DUMMYFUNCTION("""COMPUTED_VALUE"""),"สตม.")</f>
        <v>สตม.</v>
      </c>
      <c r="I6" s="103">
        <f ca="1">IFERROR(__xludf.DUMMYFUNCTION("""COMPUTED_VALUE"""),0)</f>
        <v>0</v>
      </c>
      <c r="J6" s="103">
        <f ca="1">IFERROR(__xludf.DUMMYFUNCTION("""COMPUTED_VALUE"""),0)</f>
        <v>0</v>
      </c>
      <c r="K6" s="103">
        <f ca="1">IFERROR(__xludf.DUMMYFUNCTION("""COMPUTED_VALUE"""),0)</f>
        <v>0</v>
      </c>
      <c r="L6" s="103">
        <f ca="1">IFERROR(__xludf.DUMMYFUNCTION("""COMPUTED_VALUE"""),0)</f>
        <v>0</v>
      </c>
      <c r="M6" s="103">
        <f ca="1">IFERROR(__xludf.DUMMYFUNCTION("""COMPUTED_VALUE"""),0)</f>
        <v>0</v>
      </c>
      <c r="N6" s="103">
        <f ca="1">IFERROR(__xludf.DUMMYFUNCTION("""COMPUTED_VALUE"""),0)</f>
        <v>0</v>
      </c>
      <c r="O6" s="103">
        <f ca="1">IFERROR(__xludf.DUMMYFUNCTION("""COMPUTED_VALUE"""),0)</f>
        <v>0</v>
      </c>
      <c r="P6" s="103">
        <f ca="1">IFERROR(__xludf.DUMMYFUNCTION("""COMPUTED_VALUE"""),0)</f>
        <v>0</v>
      </c>
      <c r="Q6" s="103">
        <f ca="1">IFERROR(__xludf.DUMMYFUNCTION("""COMPUTED_VALUE"""),1)</f>
        <v>1</v>
      </c>
      <c r="R6" s="103">
        <f ca="1">IFERROR(__xludf.DUMMYFUNCTION("""COMPUTED_VALUE"""),1)</f>
        <v>1</v>
      </c>
      <c r="S6" s="103">
        <f ca="1">IFERROR(__xludf.DUMMYFUNCTION("""COMPUTED_VALUE"""),1)</f>
        <v>1</v>
      </c>
      <c r="T6" s="103">
        <f ca="1">IFERROR(__xludf.DUMMYFUNCTION("""COMPUTED_VALUE"""),7)</f>
        <v>7</v>
      </c>
      <c r="U6" s="103">
        <f ca="1">IFERROR(__xludf.DUMMYFUNCTION("""COMPUTED_VALUE"""),2)</f>
        <v>2</v>
      </c>
      <c r="V6" s="103">
        <f ca="1">IFERROR(__xludf.DUMMYFUNCTION("""COMPUTED_VALUE"""),2)</f>
        <v>2</v>
      </c>
      <c r="W6" s="103">
        <f ca="1">IFERROR(__xludf.DUMMYFUNCTION("""COMPUTED_VALUE"""),0)</f>
        <v>0</v>
      </c>
      <c r="X6" s="103">
        <f ca="1">IFERROR(__xludf.DUMMYFUNCTION("""COMPUTED_VALUE"""),0)</f>
        <v>0</v>
      </c>
      <c r="Y6" s="103">
        <f ca="1">IFERROR(__xludf.DUMMYFUNCTION("""COMPUTED_VALUE"""),0)</f>
        <v>0</v>
      </c>
      <c r="Z6" s="103">
        <f ca="1">IFERROR(__xludf.DUMMYFUNCTION("""COMPUTED_VALUE"""),0)</f>
        <v>0</v>
      </c>
      <c r="AA6" s="103">
        <f ca="1">IFERROR(__xludf.DUMMYFUNCTION("""COMPUTED_VALUE"""),0)</f>
        <v>0</v>
      </c>
      <c r="AB6" s="103">
        <f ca="1">IFERROR(__xludf.DUMMYFUNCTION("""COMPUTED_VALUE"""),0)</f>
        <v>0</v>
      </c>
      <c r="AC6" s="103">
        <f ca="1">IFERROR(__xludf.DUMMYFUNCTION("""COMPUTED_VALUE"""),6)</f>
        <v>6</v>
      </c>
      <c r="AD6" s="103">
        <f ca="1">IFERROR(__xludf.DUMMYFUNCTION("""COMPUTED_VALUE"""),6)</f>
        <v>6</v>
      </c>
      <c r="AE6" s="103">
        <f ca="1">IFERROR(__xludf.DUMMYFUNCTION("""COMPUTED_VALUE"""),1)</f>
        <v>1</v>
      </c>
      <c r="AF6" s="103">
        <f ca="1">IFERROR(__xludf.DUMMYFUNCTION("""COMPUTED_VALUE"""),1)</f>
        <v>1</v>
      </c>
      <c r="AG6" s="103">
        <f ca="1">IFERROR(__xludf.DUMMYFUNCTION("""COMPUTED_VALUE"""),7)</f>
        <v>7</v>
      </c>
      <c r="AH6" s="103">
        <f ca="1">IFERROR(__xludf.DUMMYFUNCTION("""COMPUTED_VALUE"""),7)</f>
        <v>7</v>
      </c>
      <c r="AI6" s="103">
        <f ca="1">IFERROR(__xludf.DUMMYFUNCTION("""COMPUTED_VALUE"""),0)</f>
        <v>0</v>
      </c>
      <c r="AJ6" s="103">
        <f ca="1">IFERROR(__xludf.DUMMYFUNCTION("""COMPUTED_VALUE"""),0)</f>
        <v>0</v>
      </c>
      <c r="AK6" s="103">
        <f ca="1">IFERROR(__xludf.DUMMYFUNCTION("""COMPUTED_VALUE"""),8)</f>
        <v>8</v>
      </c>
      <c r="AL6" s="103">
        <f ca="1">IFERROR(__xludf.DUMMYFUNCTION("""COMPUTED_VALUE"""),10)</f>
        <v>10</v>
      </c>
      <c r="AM6" s="103">
        <f ca="1">IFERROR(__xludf.DUMMYFUNCTION("""COMPUTED_VALUE"""),113)</f>
        <v>113</v>
      </c>
      <c r="AN6" s="103">
        <f ca="1">IFERROR(__xludf.DUMMYFUNCTION("""COMPUTED_VALUE"""),151)</f>
        <v>151</v>
      </c>
      <c r="AO6" s="103">
        <f ca="1">IFERROR(__xludf.DUMMYFUNCTION("""COMPUTED_VALUE"""),0)</f>
        <v>0</v>
      </c>
      <c r="AP6" s="103">
        <f ca="1">IFERROR(__xludf.DUMMYFUNCTION("""COMPUTED_VALUE"""),0)</f>
        <v>0</v>
      </c>
      <c r="AQ6" s="103">
        <f ca="1">IFERROR(__xludf.DUMMYFUNCTION("""COMPUTED_VALUE"""),3)</f>
        <v>3</v>
      </c>
      <c r="AR6" s="103">
        <f ca="1">IFERROR(__xludf.DUMMYFUNCTION("""COMPUTED_VALUE"""),3)</f>
        <v>3</v>
      </c>
      <c r="AS6" s="103">
        <f ca="1">IFERROR(__xludf.DUMMYFUNCTION("""COMPUTED_VALUE"""),1)</f>
        <v>1</v>
      </c>
      <c r="AT6" s="103">
        <f ca="1">IFERROR(__xludf.DUMMYFUNCTION("""COMPUTED_VALUE"""),1)</f>
        <v>1</v>
      </c>
      <c r="AU6" s="103">
        <f ca="1">IFERROR(__xludf.DUMMYFUNCTION("""COMPUTED_VALUE"""),0)</f>
        <v>0</v>
      </c>
      <c r="AV6" s="103">
        <f ca="1">IFERROR(__xludf.DUMMYFUNCTION("""COMPUTED_VALUE"""),0)</f>
        <v>0</v>
      </c>
      <c r="AW6" s="103">
        <f ca="1">IFERROR(__xludf.DUMMYFUNCTION("""COMPUTED_VALUE"""),0)</f>
        <v>0</v>
      </c>
      <c r="AX6" s="103">
        <f ca="1">IFERROR(__xludf.DUMMYFUNCTION("""COMPUTED_VALUE"""),0)</f>
        <v>0</v>
      </c>
      <c r="AY6" s="103">
        <f ca="1">IFERROR(__xludf.DUMMYFUNCTION("""COMPUTED_VALUE"""),0)</f>
        <v>0</v>
      </c>
      <c r="AZ6" s="103">
        <f ca="1">IFERROR(__xludf.DUMMYFUNCTION("""COMPUTED_VALUE"""),0)</f>
        <v>0</v>
      </c>
      <c r="BA6" s="103">
        <f ca="1">IFERROR(__xludf.DUMMYFUNCTION("""COMPUTED_VALUE"""),33)</f>
        <v>33</v>
      </c>
      <c r="BB6" s="103">
        <f ca="1">IFERROR(__xludf.DUMMYFUNCTION("""COMPUTED_VALUE"""),33)</f>
        <v>33</v>
      </c>
      <c r="BC6" s="103"/>
      <c r="BD6" s="103"/>
      <c r="BE6" s="103"/>
      <c r="BF6" s="103"/>
      <c r="BG6" s="103"/>
      <c r="BH6" s="10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  <c r="D7" s="107">
        <f ca="1">IFERROR(__xludf.DUMMYFUNCTION("""COMPUTED_VALUE"""),44467.3167858101)</f>
        <v>44467.316785810101</v>
      </c>
      <c r="E7" s="103" t="str">
        <f ca="1">IFERROR(__xludf.DUMMYFUNCTION("""COMPUTED_VALUE"""),"imm@rtp.com")</f>
        <v>imm@rtp.com</v>
      </c>
      <c r="F7" s="103" t="str">
        <f ca="1">IFERROR(__xludf.DUMMYFUNCTION("""COMPUTED_VALUE"""),"rtp2021")</f>
        <v>rtp2021</v>
      </c>
      <c r="G7" s="103"/>
      <c r="H7" s="103" t="str">
        <f ca="1">IFERROR(__xludf.DUMMYFUNCTION("""COMPUTED_VALUE"""),"สตม.")</f>
        <v>สตม.</v>
      </c>
      <c r="I7" s="103">
        <f ca="1">IFERROR(__xludf.DUMMYFUNCTION("""COMPUTED_VALUE"""),0)</f>
        <v>0</v>
      </c>
      <c r="J7" s="103">
        <f ca="1">IFERROR(__xludf.DUMMYFUNCTION("""COMPUTED_VALUE"""),0)</f>
        <v>0</v>
      </c>
      <c r="K7" s="103">
        <f ca="1">IFERROR(__xludf.DUMMYFUNCTION("""COMPUTED_VALUE"""),0)</f>
        <v>0</v>
      </c>
      <c r="L7" s="103">
        <f ca="1">IFERROR(__xludf.DUMMYFUNCTION("""COMPUTED_VALUE"""),0)</f>
        <v>0</v>
      </c>
      <c r="M7" s="103">
        <f ca="1">IFERROR(__xludf.DUMMYFUNCTION("""COMPUTED_VALUE"""),0)</f>
        <v>0</v>
      </c>
      <c r="N7" s="103">
        <f ca="1">IFERROR(__xludf.DUMMYFUNCTION("""COMPUTED_VALUE"""),0)</f>
        <v>0</v>
      </c>
      <c r="O7" s="103">
        <f ca="1">IFERROR(__xludf.DUMMYFUNCTION("""COMPUTED_VALUE"""),0)</f>
        <v>0</v>
      </c>
      <c r="P7" s="103">
        <f ca="1">IFERROR(__xludf.DUMMYFUNCTION("""COMPUTED_VALUE"""),0)</f>
        <v>0</v>
      </c>
      <c r="Q7" s="103">
        <f ca="1">IFERROR(__xludf.DUMMYFUNCTION("""COMPUTED_VALUE"""),0)</f>
        <v>0</v>
      </c>
      <c r="R7" s="103">
        <f ca="1">IFERROR(__xludf.DUMMYFUNCTION("""COMPUTED_VALUE"""),0)</f>
        <v>0</v>
      </c>
      <c r="S7" s="103">
        <f ca="1">IFERROR(__xludf.DUMMYFUNCTION("""COMPUTED_VALUE"""),0)</f>
        <v>0</v>
      </c>
      <c r="T7" s="103">
        <f ca="1">IFERROR(__xludf.DUMMYFUNCTION("""COMPUTED_VALUE"""),0)</f>
        <v>0</v>
      </c>
      <c r="U7" s="103">
        <f ca="1">IFERROR(__xludf.DUMMYFUNCTION("""COMPUTED_VALUE"""),1)</f>
        <v>1</v>
      </c>
      <c r="V7" s="103">
        <f ca="1">IFERROR(__xludf.DUMMYFUNCTION("""COMPUTED_VALUE"""),1)</f>
        <v>1</v>
      </c>
      <c r="W7" s="103">
        <f ca="1">IFERROR(__xludf.DUMMYFUNCTION("""COMPUTED_VALUE"""),0)</f>
        <v>0</v>
      </c>
      <c r="X7" s="103">
        <f ca="1">IFERROR(__xludf.DUMMYFUNCTION("""COMPUTED_VALUE"""),0)</f>
        <v>0</v>
      </c>
      <c r="Y7" s="103">
        <f ca="1">IFERROR(__xludf.DUMMYFUNCTION("""COMPUTED_VALUE"""),0)</f>
        <v>0</v>
      </c>
      <c r="Z7" s="103">
        <f ca="1">IFERROR(__xludf.DUMMYFUNCTION("""COMPUTED_VALUE"""),0)</f>
        <v>0</v>
      </c>
      <c r="AA7" s="103">
        <f ca="1">IFERROR(__xludf.DUMMYFUNCTION("""COMPUTED_VALUE"""),2)</f>
        <v>2</v>
      </c>
      <c r="AB7" s="103">
        <f ca="1">IFERROR(__xludf.DUMMYFUNCTION("""COMPUTED_VALUE"""),2)</f>
        <v>2</v>
      </c>
      <c r="AC7" s="103">
        <f ca="1">IFERROR(__xludf.DUMMYFUNCTION("""COMPUTED_VALUE"""),11)</f>
        <v>11</v>
      </c>
      <c r="AD7" s="103">
        <f ca="1">IFERROR(__xludf.DUMMYFUNCTION("""COMPUTED_VALUE"""),13)</f>
        <v>13</v>
      </c>
      <c r="AE7" s="103">
        <f ca="1">IFERROR(__xludf.DUMMYFUNCTION("""COMPUTED_VALUE"""),8)</f>
        <v>8</v>
      </c>
      <c r="AF7" s="103">
        <f ca="1">IFERROR(__xludf.DUMMYFUNCTION("""COMPUTED_VALUE"""),8)</f>
        <v>8</v>
      </c>
      <c r="AG7" s="103">
        <f ca="1">IFERROR(__xludf.DUMMYFUNCTION("""COMPUTED_VALUE"""),18)</f>
        <v>18</v>
      </c>
      <c r="AH7" s="103">
        <f ca="1">IFERROR(__xludf.DUMMYFUNCTION("""COMPUTED_VALUE"""),18)</f>
        <v>18</v>
      </c>
      <c r="AI7" s="103">
        <f ca="1">IFERROR(__xludf.DUMMYFUNCTION("""COMPUTED_VALUE"""),0)</f>
        <v>0</v>
      </c>
      <c r="AJ7" s="103">
        <f ca="1">IFERROR(__xludf.DUMMYFUNCTION("""COMPUTED_VALUE"""),0)</f>
        <v>0</v>
      </c>
      <c r="AK7" s="103">
        <f ca="1">IFERROR(__xludf.DUMMYFUNCTION("""COMPUTED_VALUE"""),4)</f>
        <v>4</v>
      </c>
      <c r="AL7" s="103">
        <f ca="1">IFERROR(__xludf.DUMMYFUNCTION("""COMPUTED_VALUE"""),4)</f>
        <v>4</v>
      </c>
      <c r="AM7" s="103">
        <f ca="1">IFERROR(__xludf.DUMMYFUNCTION("""COMPUTED_VALUE"""),92)</f>
        <v>92</v>
      </c>
      <c r="AN7" s="103">
        <f ca="1">IFERROR(__xludf.DUMMYFUNCTION("""COMPUTED_VALUE"""),124)</f>
        <v>124</v>
      </c>
      <c r="AO7" s="103">
        <f ca="1">IFERROR(__xludf.DUMMYFUNCTION("""COMPUTED_VALUE"""),0)</f>
        <v>0</v>
      </c>
      <c r="AP7" s="103">
        <f ca="1">IFERROR(__xludf.DUMMYFUNCTION("""COMPUTED_VALUE"""),0)</f>
        <v>0</v>
      </c>
      <c r="AQ7" s="103">
        <f ca="1">IFERROR(__xludf.DUMMYFUNCTION("""COMPUTED_VALUE"""),6)</f>
        <v>6</v>
      </c>
      <c r="AR7" s="103">
        <f ca="1">IFERROR(__xludf.DUMMYFUNCTION("""COMPUTED_VALUE"""),6)</f>
        <v>6</v>
      </c>
      <c r="AS7" s="103">
        <f ca="1">IFERROR(__xludf.DUMMYFUNCTION("""COMPUTED_VALUE"""),0)</f>
        <v>0</v>
      </c>
      <c r="AT7" s="103">
        <f ca="1">IFERROR(__xludf.DUMMYFUNCTION("""COMPUTED_VALUE"""),0)</f>
        <v>0</v>
      </c>
      <c r="AU7" s="103">
        <f ca="1">IFERROR(__xludf.DUMMYFUNCTION("""COMPUTED_VALUE"""),0)</f>
        <v>0</v>
      </c>
      <c r="AV7" s="103">
        <f ca="1">IFERROR(__xludf.DUMMYFUNCTION("""COMPUTED_VALUE"""),0)</f>
        <v>0</v>
      </c>
      <c r="AW7" s="103">
        <f ca="1">IFERROR(__xludf.DUMMYFUNCTION("""COMPUTED_VALUE"""),0)</f>
        <v>0</v>
      </c>
      <c r="AX7" s="103">
        <f ca="1">IFERROR(__xludf.DUMMYFUNCTION("""COMPUTED_VALUE"""),0)</f>
        <v>0</v>
      </c>
      <c r="AY7" s="103">
        <f ca="1">IFERROR(__xludf.DUMMYFUNCTION("""COMPUTED_VALUE"""),0)</f>
        <v>0</v>
      </c>
      <c r="AZ7" s="103">
        <f ca="1">IFERROR(__xludf.DUMMYFUNCTION("""COMPUTED_VALUE"""),0)</f>
        <v>0</v>
      </c>
      <c r="BA7" s="103">
        <f ca="1">IFERROR(__xludf.DUMMYFUNCTION("""COMPUTED_VALUE"""),72)</f>
        <v>72</v>
      </c>
      <c r="BB7" s="103">
        <f ca="1">IFERROR(__xludf.DUMMYFUNCTION("""COMPUTED_VALUE"""),62)</f>
        <v>62</v>
      </c>
      <c r="BC7" s="103"/>
      <c r="BD7" s="103"/>
      <c r="BE7" s="103"/>
      <c r="BF7" s="103"/>
      <c r="BG7" s="103"/>
      <c r="BH7" s="103"/>
    </row>
    <row r="8" spans="1:67" ht="12.75">
      <c r="A8" s="114" t="s">
        <v>25</v>
      </c>
      <c r="B8" s="115"/>
      <c r="C8" s="116"/>
      <c r="D8" s="107">
        <f ca="1">IFERROR(__xludf.DUMMYFUNCTION("""COMPUTED_VALUE"""),44468.3279968287)</f>
        <v>44468.327996828702</v>
      </c>
      <c r="E8" s="103" t="str">
        <f ca="1">IFERROR(__xludf.DUMMYFUNCTION("""COMPUTED_VALUE"""),"imm@rtp.com")</f>
        <v>imm@rtp.com</v>
      </c>
      <c r="F8" s="103" t="str">
        <f ca="1">IFERROR(__xludf.DUMMYFUNCTION("""COMPUTED_VALUE"""),"rtp2021")</f>
        <v>rtp2021</v>
      </c>
      <c r="G8" s="103"/>
      <c r="H8" s="103" t="str">
        <f ca="1">IFERROR(__xludf.DUMMYFUNCTION("""COMPUTED_VALUE"""),"สตม.")</f>
        <v>สตม.</v>
      </c>
      <c r="I8" s="103">
        <f ca="1">IFERROR(__xludf.DUMMYFUNCTION("""COMPUTED_VALUE"""),0)</f>
        <v>0</v>
      </c>
      <c r="J8" s="103">
        <f ca="1">IFERROR(__xludf.DUMMYFUNCTION("""COMPUTED_VALUE"""),0)</f>
        <v>0</v>
      </c>
      <c r="K8" s="103">
        <f ca="1">IFERROR(__xludf.DUMMYFUNCTION("""COMPUTED_VALUE"""),0)</f>
        <v>0</v>
      </c>
      <c r="L8" s="103">
        <f ca="1">IFERROR(__xludf.DUMMYFUNCTION("""COMPUTED_VALUE"""),0)</f>
        <v>0</v>
      </c>
      <c r="M8" s="103">
        <f ca="1">IFERROR(__xludf.DUMMYFUNCTION("""COMPUTED_VALUE"""),0)</f>
        <v>0</v>
      </c>
      <c r="N8" s="103">
        <f ca="1">IFERROR(__xludf.DUMMYFUNCTION("""COMPUTED_VALUE"""),0)</f>
        <v>0</v>
      </c>
      <c r="O8" s="103">
        <f ca="1">IFERROR(__xludf.DUMMYFUNCTION("""COMPUTED_VALUE"""),1)</f>
        <v>1</v>
      </c>
      <c r="P8" s="103">
        <f ca="1">IFERROR(__xludf.DUMMYFUNCTION("""COMPUTED_VALUE"""),1)</f>
        <v>1</v>
      </c>
      <c r="Q8" s="103">
        <f ca="1">IFERROR(__xludf.DUMMYFUNCTION("""COMPUTED_VALUE"""),0)</f>
        <v>0</v>
      </c>
      <c r="R8" s="103">
        <f ca="1">IFERROR(__xludf.DUMMYFUNCTION("""COMPUTED_VALUE"""),0)</f>
        <v>0</v>
      </c>
      <c r="S8" s="103">
        <f ca="1">IFERROR(__xludf.DUMMYFUNCTION("""COMPUTED_VALUE"""),0)</f>
        <v>0</v>
      </c>
      <c r="T8" s="103">
        <f ca="1">IFERROR(__xludf.DUMMYFUNCTION("""COMPUTED_VALUE"""),0)</f>
        <v>0</v>
      </c>
      <c r="U8" s="103">
        <f ca="1">IFERROR(__xludf.DUMMYFUNCTION("""COMPUTED_VALUE"""),2)</f>
        <v>2</v>
      </c>
      <c r="V8" s="103">
        <f ca="1">IFERROR(__xludf.DUMMYFUNCTION("""COMPUTED_VALUE"""),3)</f>
        <v>3</v>
      </c>
      <c r="W8" s="103">
        <f ca="1">IFERROR(__xludf.DUMMYFUNCTION("""COMPUTED_VALUE"""),0)</f>
        <v>0</v>
      </c>
      <c r="X8" s="103">
        <f ca="1">IFERROR(__xludf.DUMMYFUNCTION("""COMPUTED_VALUE"""),0)</f>
        <v>0</v>
      </c>
      <c r="Y8" s="103">
        <f ca="1">IFERROR(__xludf.DUMMYFUNCTION("""COMPUTED_VALUE"""),0)</f>
        <v>0</v>
      </c>
      <c r="Z8" s="103">
        <f ca="1">IFERROR(__xludf.DUMMYFUNCTION("""COMPUTED_VALUE"""),0)</f>
        <v>0</v>
      </c>
      <c r="AA8" s="103">
        <f ca="1">IFERROR(__xludf.DUMMYFUNCTION("""COMPUTED_VALUE"""),1)</f>
        <v>1</v>
      </c>
      <c r="AB8" s="103">
        <f ca="1">IFERROR(__xludf.DUMMYFUNCTION("""COMPUTED_VALUE"""),1)</f>
        <v>1</v>
      </c>
      <c r="AC8" s="103">
        <f ca="1">IFERROR(__xludf.DUMMYFUNCTION("""COMPUTED_VALUE"""),16)</f>
        <v>16</v>
      </c>
      <c r="AD8" s="103">
        <f ca="1">IFERROR(__xludf.DUMMYFUNCTION("""COMPUTED_VALUE"""),17)</f>
        <v>17</v>
      </c>
      <c r="AE8" s="103">
        <f ca="1">IFERROR(__xludf.DUMMYFUNCTION("""COMPUTED_VALUE"""),7)</f>
        <v>7</v>
      </c>
      <c r="AF8" s="103">
        <f ca="1">IFERROR(__xludf.DUMMYFUNCTION("""COMPUTED_VALUE"""),8)</f>
        <v>8</v>
      </c>
      <c r="AG8" s="103">
        <f ca="1">IFERROR(__xludf.DUMMYFUNCTION("""COMPUTED_VALUE"""),16)</f>
        <v>16</v>
      </c>
      <c r="AH8" s="103">
        <f ca="1">IFERROR(__xludf.DUMMYFUNCTION("""COMPUTED_VALUE"""),16)</f>
        <v>16</v>
      </c>
      <c r="AI8" s="103">
        <f ca="1">IFERROR(__xludf.DUMMYFUNCTION("""COMPUTED_VALUE"""),0)</f>
        <v>0</v>
      </c>
      <c r="AJ8" s="103">
        <f ca="1">IFERROR(__xludf.DUMMYFUNCTION("""COMPUTED_VALUE"""),0)</f>
        <v>0</v>
      </c>
      <c r="AK8" s="103">
        <f ca="1">IFERROR(__xludf.DUMMYFUNCTION("""COMPUTED_VALUE"""),2)</f>
        <v>2</v>
      </c>
      <c r="AL8" s="103">
        <f ca="1">IFERROR(__xludf.DUMMYFUNCTION("""COMPUTED_VALUE"""),2)</f>
        <v>2</v>
      </c>
      <c r="AM8" s="103">
        <f ca="1">IFERROR(__xludf.DUMMYFUNCTION("""COMPUTED_VALUE"""),80)</f>
        <v>80</v>
      </c>
      <c r="AN8" s="103">
        <f ca="1">IFERROR(__xludf.DUMMYFUNCTION("""COMPUTED_VALUE"""),100)</f>
        <v>100</v>
      </c>
      <c r="AO8" s="103">
        <f ca="1">IFERROR(__xludf.DUMMYFUNCTION("""COMPUTED_VALUE"""),0)</f>
        <v>0</v>
      </c>
      <c r="AP8" s="103">
        <f ca="1">IFERROR(__xludf.DUMMYFUNCTION("""COMPUTED_VALUE"""),0)</f>
        <v>0</v>
      </c>
      <c r="AQ8" s="103">
        <f ca="1">IFERROR(__xludf.DUMMYFUNCTION("""COMPUTED_VALUE"""),3)</f>
        <v>3</v>
      </c>
      <c r="AR8" s="103">
        <f ca="1">IFERROR(__xludf.DUMMYFUNCTION("""COMPUTED_VALUE"""),3)</f>
        <v>3</v>
      </c>
      <c r="AS8" s="103">
        <f ca="1">IFERROR(__xludf.DUMMYFUNCTION("""COMPUTED_VALUE"""),0)</f>
        <v>0</v>
      </c>
      <c r="AT8" s="103">
        <f ca="1">IFERROR(__xludf.DUMMYFUNCTION("""COMPUTED_VALUE"""),0)</f>
        <v>0</v>
      </c>
      <c r="AU8" s="103">
        <f ca="1">IFERROR(__xludf.DUMMYFUNCTION("""COMPUTED_VALUE"""),0)</f>
        <v>0</v>
      </c>
      <c r="AV8" s="103">
        <f ca="1">IFERROR(__xludf.DUMMYFUNCTION("""COMPUTED_VALUE"""),0)</f>
        <v>0</v>
      </c>
      <c r="AW8" s="103">
        <f ca="1">IFERROR(__xludf.DUMMYFUNCTION("""COMPUTED_VALUE"""),0)</f>
        <v>0</v>
      </c>
      <c r="AX8" s="103">
        <f ca="1">IFERROR(__xludf.DUMMYFUNCTION("""COMPUTED_VALUE"""),0)</f>
        <v>0</v>
      </c>
      <c r="AY8" s="103">
        <f ca="1">IFERROR(__xludf.DUMMYFUNCTION("""COMPUTED_VALUE"""),0)</f>
        <v>0</v>
      </c>
      <c r="AZ8" s="103">
        <f ca="1">IFERROR(__xludf.DUMMYFUNCTION("""COMPUTED_VALUE"""),0)</f>
        <v>0</v>
      </c>
      <c r="BA8" s="103">
        <f ca="1">IFERROR(__xludf.DUMMYFUNCTION("""COMPUTED_VALUE"""),82)</f>
        <v>82</v>
      </c>
      <c r="BB8" s="103">
        <f ca="1">IFERROR(__xludf.DUMMYFUNCTION("""COMPUTED_VALUE"""),79)</f>
        <v>79</v>
      </c>
      <c r="BC8" s="103"/>
      <c r="BD8" s="103"/>
      <c r="BE8" s="103"/>
      <c r="BF8" s="103"/>
      <c r="BG8" s="103"/>
      <c r="BH8" s="103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  <c r="D9" s="107">
        <f ca="1">IFERROR(__xludf.DUMMYFUNCTION("""COMPUTED_VALUE"""),44469.3104442013)</f>
        <v>44469.310444201299</v>
      </c>
      <c r="E9" s="103" t="str">
        <f ca="1">IFERROR(__xludf.DUMMYFUNCTION("""COMPUTED_VALUE"""),"imm@rtp.com")</f>
        <v>imm@rtp.com</v>
      </c>
      <c r="F9" s="103" t="str">
        <f ca="1">IFERROR(__xludf.DUMMYFUNCTION("""COMPUTED_VALUE"""),"rtp2021")</f>
        <v>rtp2021</v>
      </c>
      <c r="G9" s="103"/>
      <c r="H9" s="103" t="str">
        <f ca="1">IFERROR(__xludf.DUMMYFUNCTION("""COMPUTED_VALUE"""),"สตม.")</f>
        <v>สตม.</v>
      </c>
      <c r="I9" s="103">
        <f ca="1">IFERROR(__xludf.DUMMYFUNCTION("""COMPUTED_VALUE"""),0)</f>
        <v>0</v>
      </c>
      <c r="J9" s="103">
        <f ca="1">IFERROR(__xludf.DUMMYFUNCTION("""COMPUTED_VALUE"""),0)</f>
        <v>0</v>
      </c>
      <c r="K9" s="103">
        <f ca="1">IFERROR(__xludf.DUMMYFUNCTION("""COMPUTED_VALUE"""),0)</f>
        <v>0</v>
      </c>
      <c r="L9" s="103">
        <f ca="1">IFERROR(__xludf.DUMMYFUNCTION("""COMPUTED_VALUE"""),0)</f>
        <v>0</v>
      </c>
      <c r="M9" s="103">
        <f ca="1">IFERROR(__xludf.DUMMYFUNCTION("""COMPUTED_VALUE"""),0)</f>
        <v>0</v>
      </c>
      <c r="N9" s="103">
        <f ca="1">IFERROR(__xludf.DUMMYFUNCTION("""COMPUTED_VALUE"""),0)</f>
        <v>0</v>
      </c>
      <c r="O9" s="103">
        <f ca="1">IFERROR(__xludf.DUMMYFUNCTION("""COMPUTED_VALUE"""),0)</f>
        <v>0</v>
      </c>
      <c r="P9" s="103">
        <f ca="1">IFERROR(__xludf.DUMMYFUNCTION("""COMPUTED_VALUE"""),0)</f>
        <v>0</v>
      </c>
      <c r="Q9" s="103">
        <f ca="1">IFERROR(__xludf.DUMMYFUNCTION("""COMPUTED_VALUE"""),0)</f>
        <v>0</v>
      </c>
      <c r="R9" s="103">
        <f ca="1">IFERROR(__xludf.DUMMYFUNCTION("""COMPUTED_VALUE"""),0)</f>
        <v>0</v>
      </c>
      <c r="S9" s="103">
        <f ca="1">IFERROR(__xludf.DUMMYFUNCTION("""COMPUTED_VALUE"""),0)</f>
        <v>0</v>
      </c>
      <c r="T9" s="103">
        <f ca="1">IFERROR(__xludf.DUMMYFUNCTION("""COMPUTED_VALUE"""),0)</f>
        <v>0</v>
      </c>
      <c r="U9" s="103">
        <f ca="1">IFERROR(__xludf.DUMMYFUNCTION("""COMPUTED_VALUE"""),0)</f>
        <v>0</v>
      </c>
      <c r="V9" s="103">
        <f ca="1">IFERROR(__xludf.DUMMYFUNCTION("""COMPUTED_VALUE"""),0)</f>
        <v>0</v>
      </c>
      <c r="W9" s="103">
        <f ca="1">IFERROR(__xludf.DUMMYFUNCTION("""COMPUTED_VALUE"""),0)</f>
        <v>0</v>
      </c>
      <c r="X9" s="103">
        <f ca="1">IFERROR(__xludf.DUMMYFUNCTION("""COMPUTED_VALUE"""),0)</f>
        <v>0</v>
      </c>
      <c r="Y9" s="103">
        <f ca="1">IFERROR(__xludf.DUMMYFUNCTION("""COMPUTED_VALUE"""),0)</f>
        <v>0</v>
      </c>
      <c r="Z9" s="103">
        <f ca="1">IFERROR(__xludf.DUMMYFUNCTION("""COMPUTED_VALUE"""),0)</f>
        <v>0</v>
      </c>
      <c r="AA9" s="103">
        <f ca="1">IFERROR(__xludf.DUMMYFUNCTION("""COMPUTED_VALUE"""),0)</f>
        <v>0</v>
      </c>
      <c r="AB9" s="103">
        <f ca="1">IFERROR(__xludf.DUMMYFUNCTION("""COMPUTED_VALUE"""),0)</f>
        <v>0</v>
      </c>
      <c r="AC9" s="103">
        <f ca="1">IFERROR(__xludf.DUMMYFUNCTION("""COMPUTED_VALUE"""),7)</f>
        <v>7</v>
      </c>
      <c r="AD9" s="103">
        <f ca="1">IFERROR(__xludf.DUMMYFUNCTION("""COMPUTED_VALUE"""),7)</f>
        <v>7</v>
      </c>
      <c r="AE9" s="103">
        <f ca="1">IFERROR(__xludf.DUMMYFUNCTION("""COMPUTED_VALUE"""),5)</f>
        <v>5</v>
      </c>
      <c r="AF9" s="103">
        <f ca="1">IFERROR(__xludf.DUMMYFUNCTION("""COMPUTED_VALUE"""),5)</f>
        <v>5</v>
      </c>
      <c r="AG9" s="103">
        <f ca="1">IFERROR(__xludf.DUMMYFUNCTION("""COMPUTED_VALUE"""),14)</f>
        <v>14</v>
      </c>
      <c r="AH9" s="103">
        <f ca="1">IFERROR(__xludf.DUMMYFUNCTION("""COMPUTED_VALUE"""),14)</f>
        <v>14</v>
      </c>
      <c r="AI9" s="103">
        <f ca="1">IFERROR(__xludf.DUMMYFUNCTION("""COMPUTED_VALUE"""),0)</f>
        <v>0</v>
      </c>
      <c r="AJ9" s="103">
        <f ca="1">IFERROR(__xludf.DUMMYFUNCTION("""COMPUTED_VALUE"""),0)</f>
        <v>0</v>
      </c>
      <c r="AK9" s="103">
        <f ca="1">IFERROR(__xludf.DUMMYFUNCTION("""COMPUTED_VALUE"""),0)</f>
        <v>0</v>
      </c>
      <c r="AL9" s="103">
        <f ca="1">IFERROR(__xludf.DUMMYFUNCTION("""COMPUTED_VALUE"""),0)</f>
        <v>0</v>
      </c>
      <c r="AM9" s="103">
        <f ca="1">IFERROR(__xludf.DUMMYFUNCTION("""COMPUTED_VALUE"""),120)</f>
        <v>120</v>
      </c>
      <c r="AN9" s="103">
        <f ca="1">IFERROR(__xludf.DUMMYFUNCTION("""COMPUTED_VALUE"""),145)</f>
        <v>145</v>
      </c>
      <c r="AO9" s="103">
        <f ca="1">IFERROR(__xludf.DUMMYFUNCTION("""COMPUTED_VALUE"""),0)</f>
        <v>0</v>
      </c>
      <c r="AP9" s="103">
        <f ca="1">IFERROR(__xludf.DUMMYFUNCTION("""COMPUTED_VALUE"""),0)</f>
        <v>0</v>
      </c>
      <c r="AQ9" s="103">
        <f ca="1">IFERROR(__xludf.DUMMYFUNCTION("""COMPUTED_VALUE"""),4)</f>
        <v>4</v>
      </c>
      <c r="AR9" s="103">
        <f ca="1">IFERROR(__xludf.DUMMYFUNCTION("""COMPUTED_VALUE"""),4)</f>
        <v>4</v>
      </c>
      <c r="AS9" s="103">
        <f ca="1">IFERROR(__xludf.DUMMYFUNCTION("""COMPUTED_VALUE"""),0)</f>
        <v>0</v>
      </c>
      <c r="AT9" s="103">
        <f ca="1">IFERROR(__xludf.DUMMYFUNCTION("""COMPUTED_VALUE"""),0)</f>
        <v>0</v>
      </c>
      <c r="AU9" s="103">
        <f ca="1">IFERROR(__xludf.DUMMYFUNCTION("""COMPUTED_VALUE"""),0)</f>
        <v>0</v>
      </c>
      <c r="AV9" s="103">
        <f ca="1">IFERROR(__xludf.DUMMYFUNCTION("""COMPUTED_VALUE"""),0)</f>
        <v>0</v>
      </c>
      <c r="AW9" s="103">
        <f ca="1">IFERROR(__xludf.DUMMYFUNCTION("""COMPUTED_VALUE"""),1)</f>
        <v>1</v>
      </c>
      <c r="AX9" s="103">
        <f ca="1">IFERROR(__xludf.DUMMYFUNCTION("""COMPUTED_VALUE"""),1)</f>
        <v>1</v>
      </c>
      <c r="AY9" s="103">
        <f ca="1">IFERROR(__xludf.DUMMYFUNCTION("""COMPUTED_VALUE"""),0)</f>
        <v>0</v>
      </c>
      <c r="AZ9" s="103">
        <f ca="1">IFERROR(__xludf.DUMMYFUNCTION("""COMPUTED_VALUE"""),0)</f>
        <v>0</v>
      </c>
      <c r="BA9" s="103">
        <f ca="1">IFERROR(__xludf.DUMMYFUNCTION("""COMPUTED_VALUE"""),80)</f>
        <v>80</v>
      </c>
      <c r="BB9" s="103">
        <f ca="1">IFERROR(__xludf.DUMMYFUNCTION("""COMPUTED_VALUE"""),69)</f>
        <v>69</v>
      </c>
      <c r="BC9" s="103"/>
      <c r="BD9" s="103"/>
      <c r="BE9" s="103"/>
      <c r="BF9" s="103"/>
      <c r="BG9" s="103"/>
      <c r="BH9" s="103"/>
    </row>
    <row r="10" spans="1:67" ht="12.75">
      <c r="A10" s="114" t="s">
        <v>27</v>
      </c>
      <c r="B10" s="115">
        <f t="shared" ref="B10:C10" ca="1" si="2">SUM(M:M)</f>
        <v>0</v>
      </c>
      <c r="C10" s="116">
        <f t="shared" ca="1" si="2"/>
        <v>0</v>
      </c>
      <c r="D10" s="107">
        <f ca="1">IFERROR(__xludf.DUMMYFUNCTION("""COMPUTED_VALUE"""),44470.3218413078)</f>
        <v>44470.321841307799</v>
      </c>
      <c r="E10" s="103" t="str">
        <f ca="1">IFERROR(__xludf.DUMMYFUNCTION("""COMPUTED_VALUE"""),"imm@rtp.com")</f>
        <v>imm@rtp.com</v>
      </c>
      <c r="F10" s="103" t="str">
        <f ca="1">IFERROR(__xludf.DUMMYFUNCTION("""COMPUTED_VALUE"""),"rtp2021")</f>
        <v>rtp2021</v>
      </c>
      <c r="G10" s="103"/>
      <c r="H10" s="103" t="str">
        <f ca="1">IFERROR(__xludf.DUMMYFUNCTION("""COMPUTED_VALUE"""),"สตม.")</f>
        <v>สตม.</v>
      </c>
      <c r="I10" s="103">
        <f ca="1">IFERROR(__xludf.DUMMYFUNCTION("""COMPUTED_VALUE"""),0)</f>
        <v>0</v>
      </c>
      <c r="J10" s="103">
        <f ca="1">IFERROR(__xludf.DUMMYFUNCTION("""COMPUTED_VALUE"""),0)</f>
        <v>0</v>
      </c>
      <c r="K10" s="103">
        <f ca="1">IFERROR(__xludf.DUMMYFUNCTION("""COMPUTED_VALUE"""),0)</f>
        <v>0</v>
      </c>
      <c r="L10" s="103">
        <f ca="1">IFERROR(__xludf.DUMMYFUNCTION("""COMPUTED_VALUE"""),0)</f>
        <v>0</v>
      </c>
      <c r="M10" s="103">
        <f ca="1">IFERROR(__xludf.DUMMYFUNCTION("""COMPUTED_VALUE"""),0)</f>
        <v>0</v>
      </c>
      <c r="N10" s="103">
        <f ca="1">IFERROR(__xludf.DUMMYFUNCTION("""COMPUTED_VALUE"""),0)</f>
        <v>0</v>
      </c>
      <c r="O10" s="103">
        <f ca="1">IFERROR(__xludf.DUMMYFUNCTION("""COMPUTED_VALUE"""),0)</f>
        <v>0</v>
      </c>
      <c r="P10" s="103">
        <f ca="1">IFERROR(__xludf.DUMMYFUNCTION("""COMPUTED_VALUE"""),0)</f>
        <v>0</v>
      </c>
      <c r="Q10" s="103">
        <f ca="1">IFERROR(__xludf.DUMMYFUNCTION("""COMPUTED_VALUE"""),0)</f>
        <v>0</v>
      </c>
      <c r="R10" s="103">
        <f ca="1">IFERROR(__xludf.DUMMYFUNCTION("""COMPUTED_VALUE"""),0)</f>
        <v>0</v>
      </c>
      <c r="S10" s="103">
        <f ca="1">IFERROR(__xludf.DUMMYFUNCTION("""COMPUTED_VALUE"""),0)</f>
        <v>0</v>
      </c>
      <c r="T10" s="103">
        <f ca="1">IFERROR(__xludf.DUMMYFUNCTION("""COMPUTED_VALUE"""),0)</f>
        <v>0</v>
      </c>
      <c r="U10" s="103">
        <f ca="1">IFERROR(__xludf.DUMMYFUNCTION("""COMPUTED_VALUE"""),1)</f>
        <v>1</v>
      </c>
      <c r="V10" s="103">
        <f ca="1">IFERROR(__xludf.DUMMYFUNCTION("""COMPUTED_VALUE"""),1)</f>
        <v>1</v>
      </c>
      <c r="W10" s="103">
        <f ca="1">IFERROR(__xludf.DUMMYFUNCTION("""COMPUTED_VALUE"""),0)</f>
        <v>0</v>
      </c>
      <c r="X10" s="103">
        <f ca="1">IFERROR(__xludf.DUMMYFUNCTION("""COMPUTED_VALUE"""),0)</f>
        <v>0</v>
      </c>
      <c r="Y10" s="103">
        <f ca="1">IFERROR(__xludf.DUMMYFUNCTION("""COMPUTED_VALUE"""),0)</f>
        <v>0</v>
      </c>
      <c r="Z10" s="103">
        <f ca="1">IFERROR(__xludf.DUMMYFUNCTION("""COMPUTED_VALUE"""),0)</f>
        <v>0</v>
      </c>
      <c r="AA10" s="103">
        <f ca="1">IFERROR(__xludf.DUMMYFUNCTION("""COMPUTED_VALUE"""),0)</f>
        <v>0</v>
      </c>
      <c r="AB10" s="103">
        <f ca="1">IFERROR(__xludf.DUMMYFUNCTION("""COMPUTED_VALUE"""),0)</f>
        <v>0</v>
      </c>
      <c r="AC10" s="103">
        <f ca="1">IFERROR(__xludf.DUMMYFUNCTION("""COMPUTED_VALUE"""),6)</f>
        <v>6</v>
      </c>
      <c r="AD10" s="103">
        <f ca="1">IFERROR(__xludf.DUMMYFUNCTION("""COMPUTED_VALUE"""),6)</f>
        <v>6</v>
      </c>
      <c r="AE10" s="103">
        <f ca="1">IFERROR(__xludf.DUMMYFUNCTION("""COMPUTED_VALUE"""),1)</f>
        <v>1</v>
      </c>
      <c r="AF10" s="103">
        <f ca="1">IFERROR(__xludf.DUMMYFUNCTION("""COMPUTED_VALUE"""),1)</f>
        <v>1</v>
      </c>
      <c r="AG10" s="103">
        <f ca="1">IFERROR(__xludf.DUMMYFUNCTION("""COMPUTED_VALUE"""),17)</f>
        <v>17</v>
      </c>
      <c r="AH10" s="103">
        <f ca="1">IFERROR(__xludf.DUMMYFUNCTION("""COMPUTED_VALUE"""),19)</f>
        <v>19</v>
      </c>
      <c r="AI10" s="103">
        <f ca="1">IFERROR(__xludf.DUMMYFUNCTION("""COMPUTED_VALUE"""),0)</f>
        <v>0</v>
      </c>
      <c r="AJ10" s="103">
        <f ca="1">IFERROR(__xludf.DUMMYFUNCTION("""COMPUTED_VALUE"""),0)</f>
        <v>0</v>
      </c>
      <c r="AK10" s="103">
        <f ca="1">IFERROR(__xludf.DUMMYFUNCTION("""COMPUTED_VALUE"""),1)</f>
        <v>1</v>
      </c>
      <c r="AL10" s="103">
        <f ca="1">IFERROR(__xludf.DUMMYFUNCTION("""COMPUTED_VALUE"""),2)</f>
        <v>2</v>
      </c>
      <c r="AM10" s="103">
        <f ca="1">IFERROR(__xludf.DUMMYFUNCTION("""COMPUTED_VALUE"""),108)</f>
        <v>108</v>
      </c>
      <c r="AN10" s="103">
        <f ca="1">IFERROR(__xludf.DUMMYFUNCTION("""COMPUTED_VALUE"""),154)</f>
        <v>154</v>
      </c>
      <c r="AO10" s="103">
        <f ca="1">IFERROR(__xludf.DUMMYFUNCTION("""COMPUTED_VALUE"""),0)</f>
        <v>0</v>
      </c>
      <c r="AP10" s="103">
        <f ca="1">IFERROR(__xludf.DUMMYFUNCTION("""COMPUTED_VALUE"""),0)</f>
        <v>0</v>
      </c>
      <c r="AQ10" s="103">
        <f ca="1">IFERROR(__xludf.DUMMYFUNCTION("""COMPUTED_VALUE"""),0)</f>
        <v>0</v>
      </c>
      <c r="AR10" s="103">
        <f ca="1">IFERROR(__xludf.DUMMYFUNCTION("""COMPUTED_VALUE"""),0)</f>
        <v>0</v>
      </c>
      <c r="AS10" s="103">
        <f ca="1">IFERROR(__xludf.DUMMYFUNCTION("""COMPUTED_VALUE"""),0)</f>
        <v>0</v>
      </c>
      <c r="AT10" s="103">
        <f ca="1">IFERROR(__xludf.DUMMYFUNCTION("""COMPUTED_VALUE"""),0)</f>
        <v>0</v>
      </c>
      <c r="AU10" s="103">
        <f ca="1">IFERROR(__xludf.DUMMYFUNCTION("""COMPUTED_VALUE"""),0)</f>
        <v>0</v>
      </c>
      <c r="AV10" s="103">
        <f ca="1">IFERROR(__xludf.DUMMYFUNCTION("""COMPUTED_VALUE"""),0)</f>
        <v>0</v>
      </c>
      <c r="AW10" s="103">
        <f ca="1">IFERROR(__xludf.DUMMYFUNCTION("""COMPUTED_VALUE"""),0)</f>
        <v>0</v>
      </c>
      <c r="AX10" s="103">
        <f ca="1">IFERROR(__xludf.DUMMYFUNCTION("""COMPUTED_VALUE"""),0)</f>
        <v>0</v>
      </c>
      <c r="AY10" s="103">
        <f ca="1">IFERROR(__xludf.DUMMYFUNCTION("""COMPUTED_VALUE"""),0)</f>
        <v>0</v>
      </c>
      <c r="AZ10" s="103">
        <f ca="1">IFERROR(__xludf.DUMMYFUNCTION("""COMPUTED_VALUE"""),0)</f>
        <v>0</v>
      </c>
      <c r="BA10" s="103">
        <f ca="1">IFERROR(__xludf.DUMMYFUNCTION("""COMPUTED_VALUE"""),43)</f>
        <v>43</v>
      </c>
      <c r="BB10" s="103">
        <f ca="1">IFERROR(__xludf.DUMMYFUNCTION("""COMPUTED_VALUE"""),41)</f>
        <v>41</v>
      </c>
      <c r="BC10" s="103"/>
      <c r="BD10" s="103"/>
      <c r="BE10" s="103"/>
      <c r="BF10" s="103"/>
      <c r="BG10" s="103"/>
      <c r="BH10" s="103"/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2</v>
      </c>
      <c r="C12" s="116">
        <f t="shared" ca="1" si="3"/>
        <v>2</v>
      </c>
    </row>
    <row r="13" spans="1:67" ht="12.75">
      <c r="A13" s="114" t="s">
        <v>30</v>
      </c>
      <c r="B13" s="115">
        <f t="shared" ref="B13:C13" ca="1" si="4">SUM(Q:Q)</f>
        <v>2</v>
      </c>
      <c r="C13" s="116">
        <f t="shared" ca="1" si="4"/>
        <v>2</v>
      </c>
    </row>
    <row r="14" spans="1:67" ht="12.75">
      <c r="A14" s="114" t="s">
        <v>31</v>
      </c>
      <c r="B14" s="115">
        <f t="shared" ref="B14:C14" ca="1" si="5">SUM(S:S)</f>
        <v>6</v>
      </c>
      <c r="C14" s="116">
        <f t="shared" ca="1" si="5"/>
        <v>25</v>
      </c>
    </row>
    <row r="15" spans="1:67" ht="12.75">
      <c r="A15" s="117" t="s">
        <v>32</v>
      </c>
      <c r="B15" s="118">
        <f t="shared" ref="B15:C15" ca="1" si="6">SUM(B6:B14)</f>
        <v>10</v>
      </c>
      <c r="C15" s="119">
        <f t="shared" ca="1" si="6"/>
        <v>29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7</v>
      </c>
      <c r="C17" s="116">
        <f t="shared" ca="1" si="7"/>
        <v>8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3</v>
      </c>
      <c r="C20" s="116">
        <f t="shared" ca="1" si="10"/>
        <v>3</v>
      </c>
    </row>
    <row r="21" spans="1:3" ht="12.75">
      <c r="A21" s="114" t="s">
        <v>38</v>
      </c>
      <c r="B21" s="115">
        <f t="shared" ref="B21:C21" ca="1" si="11">SUM(AC:AC)</f>
        <v>58</v>
      </c>
      <c r="C21" s="116">
        <f t="shared" ca="1" si="11"/>
        <v>59</v>
      </c>
    </row>
    <row r="22" spans="1:3" ht="12.75">
      <c r="A22" s="114" t="s">
        <v>39</v>
      </c>
      <c r="B22" s="115">
        <f t="shared" ref="B22:C22" ca="1" si="12">SUM(AE:AE)</f>
        <v>36</v>
      </c>
      <c r="C22" s="116">
        <f t="shared" ca="1" si="12"/>
        <v>45</v>
      </c>
    </row>
    <row r="23" spans="1:3" ht="12.75">
      <c r="A23" s="114" t="s">
        <v>40</v>
      </c>
      <c r="B23" s="115">
        <f t="shared" ref="B23:C23" ca="1" si="13">SUM(AG:AG)</f>
        <v>87</v>
      </c>
      <c r="C23" s="116">
        <f t="shared" ca="1" si="13"/>
        <v>89</v>
      </c>
    </row>
    <row r="24" spans="1:3" ht="12.75">
      <c r="A24" s="117" t="s">
        <v>32</v>
      </c>
      <c r="B24" s="118">
        <f t="shared" ref="B24:C24" ca="1" si="14">SUM(B17:B23)</f>
        <v>191</v>
      </c>
      <c r="C24" s="119">
        <f t="shared" ca="1" si="14"/>
        <v>204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25</v>
      </c>
      <c r="C27" s="116">
        <f t="shared" ca="1" si="16"/>
        <v>28</v>
      </c>
    </row>
    <row r="28" spans="1:3" ht="12.75">
      <c r="A28" s="114" t="s">
        <v>44</v>
      </c>
      <c r="B28" s="115">
        <f t="shared" ref="B28:C28" ca="1" si="17">SUM(AM:AM)</f>
        <v>648</v>
      </c>
      <c r="C28" s="116">
        <f t="shared" ca="1" si="17"/>
        <v>928</v>
      </c>
    </row>
    <row r="29" spans="1:3" ht="12.75">
      <c r="A29" s="117" t="s">
        <v>32</v>
      </c>
      <c r="B29" s="118">
        <f t="shared" ref="B29:C29" ca="1" si="18">SUM(B26:B28)</f>
        <v>673</v>
      </c>
      <c r="C29" s="119">
        <f t="shared" ca="1" si="18"/>
        <v>956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23</v>
      </c>
      <c r="C32" s="116">
        <f t="shared" ca="1" si="20"/>
        <v>23</v>
      </c>
    </row>
    <row r="33" spans="1:67" ht="12.75">
      <c r="A33" s="114" t="s">
        <v>48</v>
      </c>
      <c r="B33" s="115">
        <f t="shared" ref="B33:C33" ca="1" si="21">SUM(AS:AS)</f>
        <v>1</v>
      </c>
      <c r="C33" s="116">
        <f t="shared" ca="1" si="21"/>
        <v>1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2</v>
      </c>
      <c r="C35" s="116">
        <f t="shared" ca="1" si="23"/>
        <v>2</v>
      </c>
    </row>
    <row r="36" spans="1:67" ht="12.75">
      <c r="A36" s="117" t="s">
        <v>32</v>
      </c>
      <c r="B36" s="118">
        <f t="shared" ref="B36:C36" ca="1" si="24">SUM(B31:B35)</f>
        <v>26</v>
      </c>
      <c r="C36" s="119">
        <f t="shared" ca="1" si="24"/>
        <v>26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349</v>
      </c>
      <c r="C38" s="124">
        <f t="shared" ca="1" si="26"/>
        <v>323</v>
      </c>
    </row>
    <row r="39" spans="1:67" ht="15">
      <c r="A39" s="126" t="s">
        <v>20</v>
      </c>
      <c r="B39" s="127">
        <f t="shared" ref="B39:C39" ca="1" si="27">SUM(B15,B24,B29,B36,B37,B38)</f>
        <v>1249</v>
      </c>
      <c r="C39" s="128">
        <f t="shared" ca="1" si="27"/>
        <v>1538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/>
      <c r="C2" s="102" t="s">
        <v>72</v>
      </c>
      <c r="D2" s="103" t="str">
        <f ca="1">IFERROR(__xludf.DUMMYFUNCTION("QUERY('Form Responses 1'!A:BE,""select * where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10</v>
      </c>
      <c r="B3" s="105" t="s">
        <v>73</v>
      </c>
      <c r="C3" s="106" t="s">
        <v>73</v>
      </c>
      <c r="D3" s="107">
        <f ca="1">IFERROR(__xludf.DUMMYFUNCTION("""COMPUTED_VALUE"""),44463.6255373842)</f>
        <v>44463.6255373842</v>
      </c>
      <c r="E3" s="103" t="str">
        <f ca="1">IFERROR(__xludf.DUMMYFUNCTION("""COMPUTED_VALUE"""),"tour@rtp.com")</f>
        <v>tour@rtp.com</v>
      </c>
      <c r="F3" s="108" t="str">
        <f ca="1">IFERROR(__xludf.DUMMYFUNCTION("""COMPUTED_VALUE"""),"rtp2021")</f>
        <v>rtp2021</v>
      </c>
      <c r="G3" s="103"/>
      <c r="H3" s="108" t="str">
        <f ca="1">IFERROR(__xludf.DUMMYFUNCTION("""COMPUTED_VALUE"""),"บช.ทท.")</f>
        <v>บช.ทท.</v>
      </c>
      <c r="I3" s="108">
        <f ca="1">IFERROR(__xludf.DUMMYFUNCTION("""COMPUTED_VALUE"""),0)</f>
        <v>0</v>
      </c>
      <c r="J3" s="108">
        <f ca="1">IFERROR(__xludf.DUMMYFUNCTION("""COMPUTED_VALUE"""),0)</f>
        <v>0</v>
      </c>
      <c r="K3" s="108">
        <f ca="1">IFERROR(__xludf.DUMMYFUNCTION("""COMPUTED_VALUE"""),0)</f>
        <v>0</v>
      </c>
      <c r="L3" s="108">
        <f ca="1">IFERROR(__xludf.DUMMYFUNCTION("""COMPUTED_VALUE"""),0)</f>
        <v>0</v>
      </c>
      <c r="M3" s="108">
        <f ca="1">IFERROR(__xludf.DUMMYFUNCTION("""COMPUTED_VALUE"""),0)</f>
        <v>0</v>
      </c>
      <c r="N3" s="108">
        <f ca="1">IFERROR(__xludf.DUMMYFUNCTION("""COMPUTED_VALUE"""),0)</f>
        <v>0</v>
      </c>
      <c r="O3" s="108">
        <f ca="1">IFERROR(__xludf.DUMMYFUNCTION("""COMPUTED_VALUE"""),0)</f>
        <v>0</v>
      </c>
      <c r="P3" s="108">
        <f ca="1">IFERROR(__xludf.DUMMYFUNCTION("""COMPUTED_VALUE"""),0)</f>
        <v>0</v>
      </c>
      <c r="Q3" s="108">
        <f ca="1">IFERROR(__xludf.DUMMYFUNCTION("""COMPUTED_VALUE"""),0)</f>
        <v>0</v>
      </c>
      <c r="R3" s="108">
        <f ca="1">IFERROR(__xludf.DUMMYFUNCTION("""COMPUTED_VALUE"""),0)</f>
        <v>0</v>
      </c>
      <c r="S3" s="108">
        <f ca="1">IFERROR(__xludf.DUMMYFUNCTION("""COMPUTED_VALUE"""),0)</f>
        <v>0</v>
      </c>
      <c r="T3" s="108"/>
      <c r="U3" s="108"/>
      <c r="V3" s="108"/>
      <c r="W3" s="108"/>
      <c r="X3" s="108"/>
      <c r="Y3" s="108"/>
      <c r="Z3" s="108"/>
      <c r="AA3" s="108"/>
      <c r="AB3" s="108"/>
      <c r="AC3" s="108">
        <f ca="1">IFERROR(__xludf.DUMMYFUNCTION("""COMPUTED_VALUE"""),3)</f>
        <v>3</v>
      </c>
      <c r="AD3" s="108">
        <f ca="1">IFERROR(__xludf.DUMMYFUNCTION("""COMPUTED_VALUE"""),3)</f>
        <v>3</v>
      </c>
      <c r="AE3" s="108">
        <f ca="1">IFERROR(__xludf.DUMMYFUNCTION("""COMPUTED_VALUE"""),2)</f>
        <v>2</v>
      </c>
      <c r="AF3" s="108">
        <f ca="1">IFERROR(__xludf.DUMMYFUNCTION("""COMPUTED_VALUE"""),2)</f>
        <v>2</v>
      </c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>
        <f ca="1">IFERROR(__xludf.DUMMYFUNCTION("""COMPUTED_VALUE"""),12)</f>
        <v>12</v>
      </c>
      <c r="BB3" s="108">
        <f ca="1">IFERROR(__xludf.DUMMYFUNCTION("""COMPUTED_VALUE"""),11)</f>
        <v>11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  <c r="D4" s="107">
        <f ca="1">IFERROR(__xludf.DUMMYFUNCTION("""COMPUTED_VALUE"""),44464.3039614583)</f>
        <v>44464.303961458303</v>
      </c>
      <c r="E4" s="103" t="str">
        <f ca="1">IFERROR(__xludf.DUMMYFUNCTION("""COMPUTED_VALUE"""),"tour@rtp.com")</f>
        <v>tour@rtp.com</v>
      </c>
      <c r="F4" s="103" t="str">
        <f ca="1">IFERROR(__xludf.DUMMYFUNCTION("""COMPUTED_VALUE"""),"rtp2021")</f>
        <v>rtp2021</v>
      </c>
      <c r="G4" s="103"/>
      <c r="H4" s="103" t="str">
        <f ca="1">IFERROR(__xludf.DUMMYFUNCTION("""COMPUTED_VALUE"""),"บช.ทท.")</f>
        <v>บช.ทท.</v>
      </c>
      <c r="I4" s="103"/>
      <c r="J4" s="103"/>
      <c r="K4" s="103"/>
      <c r="L4" s="103"/>
      <c r="M4" s="103"/>
      <c r="N4" s="103"/>
      <c r="O4" s="103"/>
      <c r="P4" s="103"/>
      <c r="Q4" s="103">
        <f ca="1">IFERROR(__xludf.DUMMYFUNCTION("""COMPUTED_VALUE"""),1)</f>
        <v>1</v>
      </c>
      <c r="R4" s="103">
        <f ca="1">IFERROR(__xludf.DUMMYFUNCTION("""COMPUTED_VALUE"""),1)</f>
        <v>1</v>
      </c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>
        <f ca="1">IFERROR(__xludf.DUMMYFUNCTION("""COMPUTED_VALUE"""),2)</f>
        <v>2</v>
      </c>
      <c r="AD4" s="103">
        <f ca="1">IFERROR(__xludf.DUMMYFUNCTION("""COMPUTED_VALUE"""),3)</f>
        <v>3</v>
      </c>
      <c r="AE4" s="103">
        <f ca="1">IFERROR(__xludf.DUMMYFUNCTION("""COMPUTED_VALUE"""),2)</f>
        <v>2</v>
      </c>
      <c r="AF4" s="103">
        <f ca="1">IFERROR(__xludf.DUMMYFUNCTION("""COMPUTED_VALUE"""),2)</f>
        <v>2</v>
      </c>
      <c r="AG4" s="103">
        <f ca="1">IFERROR(__xludf.DUMMYFUNCTION("""COMPUTED_VALUE"""),2)</f>
        <v>2</v>
      </c>
      <c r="AH4" s="103">
        <f ca="1">IFERROR(__xludf.DUMMYFUNCTION("""COMPUTED_VALUE"""),2)</f>
        <v>2</v>
      </c>
      <c r="AI4" s="103"/>
      <c r="AJ4" s="103"/>
      <c r="AK4" s="103">
        <f ca="1">IFERROR(__xludf.DUMMYFUNCTION("""COMPUTED_VALUE"""),2)</f>
        <v>2</v>
      </c>
      <c r="AL4" s="103">
        <f ca="1">IFERROR(__xludf.DUMMYFUNCTION("""COMPUTED_VALUE"""),2)</f>
        <v>2</v>
      </c>
      <c r="AM4" s="103">
        <f ca="1">IFERROR(__xludf.DUMMYFUNCTION("""COMPUTED_VALUE"""),3)</f>
        <v>3</v>
      </c>
      <c r="AN4" s="103">
        <f ca="1">IFERROR(__xludf.DUMMYFUNCTION("""COMPUTED_VALUE"""),3)</f>
        <v>3</v>
      </c>
      <c r="AO4" s="103"/>
      <c r="AP4" s="103"/>
      <c r="AQ4" s="103"/>
      <c r="AR4" s="103"/>
      <c r="AS4" s="103">
        <f ca="1">IFERROR(__xludf.DUMMYFUNCTION("""COMPUTED_VALUE"""),1)</f>
        <v>1</v>
      </c>
      <c r="AT4" s="103">
        <f ca="1">IFERROR(__xludf.DUMMYFUNCTION("""COMPUTED_VALUE"""),1)</f>
        <v>1</v>
      </c>
      <c r="AU4" s="103"/>
      <c r="AV4" s="103"/>
      <c r="AW4" s="103">
        <f ca="1">IFERROR(__xludf.DUMMYFUNCTION("""COMPUTED_VALUE"""),1)</f>
        <v>1</v>
      </c>
      <c r="AX4" s="103">
        <f ca="1">IFERROR(__xludf.DUMMYFUNCTION("""COMPUTED_VALUE"""),1)</f>
        <v>1</v>
      </c>
      <c r="AY4" s="103"/>
      <c r="AZ4" s="103"/>
      <c r="BA4" s="103">
        <f ca="1">IFERROR(__xludf.DUMMYFUNCTION("""COMPUTED_VALUE"""),14)</f>
        <v>14</v>
      </c>
      <c r="BB4" s="103">
        <f ca="1">IFERROR(__xludf.DUMMYFUNCTION("""COMPUTED_VALUE"""),13)</f>
        <v>13</v>
      </c>
      <c r="BC4" s="103"/>
      <c r="BD4" s="103"/>
      <c r="BE4" s="103"/>
      <c r="BF4" s="103"/>
      <c r="BG4" s="103"/>
      <c r="BH4" s="103"/>
    </row>
    <row r="5" spans="1:67" ht="12.75">
      <c r="A5" s="638"/>
      <c r="B5" s="109" t="s">
        <v>21</v>
      </c>
      <c r="C5" s="110" t="s">
        <v>22</v>
      </c>
      <c r="D5" s="107">
        <f ca="1">IFERROR(__xludf.DUMMYFUNCTION("""COMPUTED_VALUE"""),44465.2947199651)</f>
        <v>44465.294719965103</v>
      </c>
      <c r="E5" s="103" t="str">
        <f ca="1">IFERROR(__xludf.DUMMYFUNCTION("""COMPUTED_VALUE"""),"tour@rtp.com")</f>
        <v>tour@rtp.com</v>
      </c>
      <c r="F5" s="103" t="str">
        <f ca="1">IFERROR(__xludf.DUMMYFUNCTION("""COMPUTED_VALUE"""),"rtp2021")</f>
        <v>rtp2021</v>
      </c>
      <c r="G5" s="103"/>
      <c r="H5" s="103" t="str">
        <f ca="1">IFERROR(__xludf.DUMMYFUNCTION("""COMPUTED_VALUE"""),"บช.ทท.")</f>
        <v>บช.ทท.</v>
      </c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>
        <f ca="1">IFERROR(__xludf.DUMMYFUNCTION("""COMPUTED_VALUE"""),2)</f>
        <v>2</v>
      </c>
      <c r="V5" s="103">
        <f ca="1">IFERROR(__xludf.DUMMYFUNCTION("""COMPUTED_VALUE"""),2)</f>
        <v>2</v>
      </c>
      <c r="W5" s="103"/>
      <c r="X5" s="103"/>
      <c r="Y5" s="103"/>
      <c r="Z5" s="103"/>
      <c r="AA5" s="103">
        <f ca="1">IFERROR(__xludf.DUMMYFUNCTION("""COMPUTED_VALUE"""),1)</f>
        <v>1</v>
      </c>
      <c r="AB5" s="103">
        <f ca="1">IFERROR(__xludf.DUMMYFUNCTION("""COMPUTED_VALUE"""),1)</f>
        <v>1</v>
      </c>
      <c r="AC5" s="103">
        <f ca="1">IFERROR(__xludf.DUMMYFUNCTION("""COMPUTED_VALUE"""),6)</f>
        <v>6</v>
      </c>
      <c r="AD5" s="103">
        <f ca="1">IFERROR(__xludf.DUMMYFUNCTION("""COMPUTED_VALUE"""),6)</f>
        <v>6</v>
      </c>
      <c r="AE5" s="103">
        <f ca="1">IFERROR(__xludf.DUMMYFUNCTION("""COMPUTED_VALUE"""),3)</f>
        <v>3</v>
      </c>
      <c r="AF5" s="103">
        <f ca="1">IFERROR(__xludf.DUMMYFUNCTION("""COMPUTED_VALUE"""),3)</f>
        <v>3</v>
      </c>
      <c r="AG5" s="103">
        <f ca="1">IFERROR(__xludf.DUMMYFUNCTION("""COMPUTED_VALUE"""),4)</f>
        <v>4</v>
      </c>
      <c r="AH5" s="103">
        <f ca="1">IFERROR(__xludf.DUMMYFUNCTION("""COMPUTED_VALUE"""),4)</f>
        <v>4</v>
      </c>
      <c r="AI5" s="103">
        <f ca="1">IFERROR(__xludf.DUMMYFUNCTION("""COMPUTED_VALUE"""),1)</f>
        <v>1</v>
      </c>
      <c r="AJ5" s="103">
        <f ca="1">IFERROR(__xludf.DUMMYFUNCTION("""COMPUTED_VALUE"""),1)</f>
        <v>1</v>
      </c>
      <c r="AK5" s="103"/>
      <c r="AL5" s="103"/>
      <c r="AM5" s="103">
        <f ca="1">IFERROR(__xludf.DUMMYFUNCTION("""COMPUTED_VALUE"""),3)</f>
        <v>3</v>
      </c>
      <c r="AN5" s="103">
        <f ca="1">IFERROR(__xludf.DUMMYFUNCTION("""COMPUTED_VALUE"""),4)</f>
        <v>4</v>
      </c>
      <c r="AO5" s="103"/>
      <c r="AP5" s="103"/>
      <c r="AQ5" s="103"/>
      <c r="AR5" s="103"/>
      <c r="AS5" s="103">
        <f ca="1">IFERROR(__xludf.DUMMYFUNCTION("""COMPUTED_VALUE"""),1)</f>
        <v>1</v>
      </c>
      <c r="AT5" s="103">
        <f ca="1">IFERROR(__xludf.DUMMYFUNCTION("""COMPUTED_VALUE"""),1)</f>
        <v>1</v>
      </c>
      <c r="AU5" s="103"/>
      <c r="AV5" s="103"/>
      <c r="AW5" s="103">
        <f ca="1">IFERROR(__xludf.DUMMYFUNCTION("""COMPUTED_VALUE"""),2)</f>
        <v>2</v>
      </c>
      <c r="AX5" s="103">
        <f ca="1">IFERROR(__xludf.DUMMYFUNCTION("""COMPUTED_VALUE"""),2)</f>
        <v>2</v>
      </c>
      <c r="AY5" s="103"/>
      <c r="AZ5" s="103"/>
      <c r="BA5" s="103">
        <f ca="1">IFERROR(__xludf.DUMMYFUNCTION("""COMPUTED_VALUE"""),7)</f>
        <v>7</v>
      </c>
      <c r="BB5" s="103">
        <f ca="1">IFERROR(__xludf.DUMMYFUNCTION("""COMPUTED_VALUE"""),7)</f>
        <v>7</v>
      </c>
      <c r="BC5" s="103"/>
      <c r="BD5" s="103"/>
      <c r="BE5" s="103"/>
      <c r="BF5" s="103"/>
      <c r="BG5" s="103"/>
      <c r="BH5" s="103"/>
    </row>
    <row r="6" spans="1:67" ht="12.75">
      <c r="A6" s="111" t="s">
        <v>23</v>
      </c>
      <c r="B6" s="112"/>
      <c r="C6" s="113"/>
      <c r="D6" s="107">
        <f ca="1">IFERROR(__xludf.DUMMYFUNCTION("""COMPUTED_VALUE"""),44466.3124230671)</f>
        <v>44466.312423067102</v>
      </c>
      <c r="E6" s="103" t="str">
        <f ca="1">IFERROR(__xludf.DUMMYFUNCTION("""COMPUTED_VALUE"""),"tour@rtp.com")</f>
        <v>tour@rtp.com</v>
      </c>
      <c r="F6" s="103" t="str">
        <f ca="1">IFERROR(__xludf.DUMMYFUNCTION("""COMPUTED_VALUE"""),"rtp2021")</f>
        <v>rtp2021</v>
      </c>
      <c r="G6" s="103"/>
      <c r="H6" s="103" t="str">
        <f ca="1">IFERROR(__xludf.DUMMYFUNCTION("""COMPUTED_VALUE"""),"บช.ทท.")</f>
        <v>บช.ทท.</v>
      </c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>
        <f ca="1">IFERROR(__xludf.DUMMYFUNCTION("""COMPUTED_VALUE"""),2)</f>
        <v>2</v>
      </c>
      <c r="T6" s="103">
        <f ca="1">IFERROR(__xludf.DUMMYFUNCTION("""COMPUTED_VALUE"""),2)</f>
        <v>2</v>
      </c>
      <c r="U6" s="103">
        <f ca="1">IFERROR(__xludf.DUMMYFUNCTION("""COMPUTED_VALUE"""),1)</f>
        <v>1</v>
      </c>
      <c r="V6" s="103">
        <f ca="1">IFERROR(__xludf.DUMMYFUNCTION("""COMPUTED_VALUE"""),1)</f>
        <v>1</v>
      </c>
      <c r="W6" s="103"/>
      <c r="X6" s="103"/>
      <c r="Y6" s="103"/>
      <c r="Z6" s="103"/>
      <c r="AA6" s="103"/>
      <c r="AB6" s="103"/>
      <c r="AC6" s="103">
        <f ca="1">IFERROR(__xludf.DUMMYFUNCTION("""COMPUTED_VALUE"""),2)</f>
        <v>2</v>
      </c>
      <c r="AD6" s="103">
        <f ca="1">IFERROR(__xludf.DUMMYFUNCTION("""COMPUTED_VALUE"""),2)</f>
        <v>2</v>
      </c>
      <c r="AE6" s="103">
        <f ca="1">IFERROR(__xludf.DUMMYFUNCTION("""COMPUTED_VALUE"""),1)</f>
        <v>1</v>
      </c>
      <c r="AF6" s="103">
        <f ca="1">IFERROR(__xludf.DUMMYFUNCTION("""COMPUTED_VALUE"""),1)</f>
        <v>1</v>
      </c>
      <c r="AG6" s="103">
        <f ca="1">IFERROR(__xludf.DUMMYFUNCTION("""COMPUTED_VALUE"""),15)</f>
        <v>15</v>
      </c>
      <c r="AH6" s="103">
        <f ca="1">IFERROR(__xludf.DUMMYFUNCTION("""COMPUTED_VALUE"""),15)</f>
        <v>15</v>
      </c>
      <c r="AI6" s="103"/>
      <c r="AJ6" s="103"/>
      <c r="AK6" s="103"/>
      <c r="AL6" s="103"/>
      <c r="AM6" s="103">
        <f ca="1">IFERROR(__xludf.DUMMYFUNCTION("""COMPUTED_VALUE"""),8)</f>
        <v>8</v>
      </c>
      <c r="AN6" s="103">
        <f ca="1">IFERROR(__xludf.DUMMYFUNCTION("""COMPUTED_VALUE"""),11)</f>
        <v>11</v>
      </c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>
        <f ca="1">IFERROR(__xludf.DUMMYFUNCTION("""COMPUTED_VALUE"""),18)</f>
        <v>18</v>
      </c>
      <c r="BB6" s="103">
        <f ca="1">IFERROR(__xludf.DUMMYFUNCTION("""COMPUTED_VALUE"""),14)</f>
        <v>14</v>
      </c>
      <c r="BC6" s="103"/>
      <c r="BD6" s="103"/>
      <c r="BE6" s="103"/>
      <c r="BF6" s="103"/>
      <c r="BG6" s="103"/>
      <c r="BH6" s="10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  <c r="D7" s="107">
        <f ca="1">IFERROR(__xludf.DUMMYFUNCTION("""COMPUTED_VALUE"""),44467.3141130787)</f>
        <v>44467.314113078697</v>
      </c>
      <c r="E7" s="103" t="str">
        <f ca="1">IFERROR(__xludf.DUMMYFUNCTION("""COMPUTED_VALUE"""),"tour@rtp.com")</f>
        <v>tour@rtp.com</v>
      </c>
      <c r="F7" s="103" t="str">
        <f ca="1">IFERROR(__xludf.DUMMYFUNCTION("""COMPUTED_VALUE"""),"rtp2021")</f>
        <v>rtp2021</v>
      </c>
      <c r="G7" s="103"/>
      <c r="H7" s="103" t="str">
        <f ca="1">IFERROR(__xludf.DUMMYFUNCTION("""COMPUTED_VALUE"""),"บช.ทท.")</f>
        <v>บช.ทท.</v>
      </c>
      <c r="I7" s="103">
        <f ca="1">IFERROR(__xludf.DUMMYFUNCTION("""COMPUTED_VALUE"""),0)</f>
        <v>0</v>
      </c>
      <c r="J7" s="103">
        <f ca="1">IFERROR(__xludf.DUMMYFUNCTION("""COMPUTED_VALUE"""),0)</f>
        <v>0</v>
      </c>
      <c r="K7" s="103">
        <f ca="1">IFERROR(__xludf.DUMMYFUNCTION("""COMPUTED_VALUE"""),1)</f>
        <v>1</v>
      </c>
      <c r="L7" s="103">
        <f ca="1">IFERROR(__xludf.DUMMYFUNCTION("""COMPUTED_VALUE"""),1)</f>
        <v>1</v>
      </c>
      <c r="M7" s="103">
        <f ca="1">IFERROR(__xludf.DUMMYFUNCTION("""COMPUTED_VALUE"""),0)</f>
        <v>0</v>
      </c>
      <c r="N7" s="103">
        <f ca="1">IFERROR(__xludf.DUMMYFUNCTION("""COMPUTED_VALUE"""),0)</f>
        <v>0</v>
      </c>
      <c r="O7" s="103">
        <f ca="1">IFERROR(__xludf.DUMMYFUNCTION("""COMPUTED_VALUE"""),0)</f>
        <v>0</v>
      </c>
      <c r="P7" s="103">
        <f ca="1">IFERROR(__xludf.DUMMYFUNCTION("""COMPUTED_VALUE"""),0)</f>
        <v>0</v>
      </c>
      <c r="Q7" s="103">
        <f ca="1">IFERROR(__xludf.DUMMYFUNCTION("""COMPUTED_VALUE"""),0)</f>
        <v>0</v>
      </c>
      <c r="R7" s="103">
        <f ca="1">IFERROR(__xludf.DUMMYFUNCTION("""COMPUTED_VALUE"""),0)</f>
        <v>0</v>
      </c>
      <c r="S7" s="103">
        <f ca="1">IFERROR(__xludf.DUMMYFUNCTION("""COMPUTED_VALUE"""),0)</f>
        <v>0</v>
      </c>
      <c r="T7" s="103">
        <f ca="1">IFERROR(__xludf.DUMMYFUNCTION("""COMPUTED_VALUE"""),0)</f>
        <v>0</v>
      </c>
      <c r="U7" s="103">
        <f ca="1">IFERROR(__xludf.DUMMYFUNCTION("""COMPUTED_VALUE"""),0)</f>
        <v>0</v>
      </c>
      <c r="V7" s="103">
        <f ca="1">IFERROR(__xludf.DUMMYFUNCTION("""COMPUTED_VALUE"""),0)</f>
        <v>0</v>
      </c>
      <c r="W7" s="103">
        <f ca="1">IFERROR(__xludf.DUMMYFUNCTION("""COMPUTED_VALUE"""),0)</f>
        <v>0</v>
      </c>
      <c r="X7" s="103">
        <f ca="1">IFERROR(__xludf.DUMMYFUNCTION("""COMPUTED_VALUE"""),0)</f>
        <v>0</v>
      </c>
      <c r="Y7" s="103">
        <f ca="1">IFERROR(__xludf.DUMMYFUNCTION("""COMPUTED_VALUE"""),0)</f>
        <v>0</v>
      </c>
      <c r="Z7" s="103">
        <f ca="1">IFERROR(__xludf.DUMMYFUNCTION("""COMPUTED_VALUE"""),0)</f>
        <v>0</v>
      </c>
      <c r="AA7" s="103">
        <f ca="1">IFERROR(__xludf.DUMMYFUNCTION("""COMPUTED_VALUE"""),0)</f>
        <v>0</v>
      </c>
      <c r="AB7" s="103">
        <f ca="1">IFERROR(__xludf.DUMMYFUNCTION("""COMPUTED_VALUE"""),0)</f>
        <v>0</v>
      </c>
      <c r="AC7" s="103">
        <f ca="1">IFERROR(__xludf.DUMMYFUNCTION("""COMPUTED_VALUE"""),2)</f>
        <v>2</v>
      </c>
      <c r="AD7" s="103">
        <f ca="1">IFERROR(__xludf.DUMMYFUNCTION("""COMPUTED_VALUE"""),2)</f>
        <v>2</v>
      </c>
      <c r="AE7" s="103">
        <f ca="1">IFERROR(__xludf.DUMMYFUNCTION("""COMPUTED_VALUE"""),1)</f>
        <v>1</v>
      </c>
      <c r="AF7" s="103">
        <f ca="1">IFERROR(__xludf.DUMMYFUNCTION("""COMPUTED_VALUE"""),1)</f>
        <v>1</v>
      </c>
      <c r="AG7" s="103">
        <f ca="1">IFERROR(__xludf.DUMMYFUNCTION("""COMPUTED_VALUE"""),2)</f>
        <v>2</v>
      </c>
      <c r="AH7" s="103">
        <f ca="1">IFERROR(__xludf.DUMMYFUNCTION("""COMPUTED_VALUE"""),2)</f>
        <v>2</v>
      </c>
      <c r="AI7" s="103">
        <f ca="1">IFERROR(__xludf.DUMMYFUNCTION("""COMPUTED_VALUE"""),0)</f>
        <v>0</v>
      </c>
      <c r="AJ7" s="103">
        <f ca="1">IFERROR(__xludf.DUMMYFUNCTION("""COMPUTED_VALUE"""),0)</f>
        <v>0</v>
      </c>
      <c r="AK7" s="103">
        <f ca="1">IFERROR(__xludf.DUMMYFUNCTION("""COMPUTED_VALUE"""),1)</f>
        <v>1</v>
      </c>
      <c r="AL7" s="103">
        <f ca="1">IFERROR(__xludf.DUMMYFUNCTION("""COMPUTED_VALUE"""),2)</f>
        <v>2</v>
      </c>
      <c r="AM7" s="103">
        <f ca="1">IFERROR(__xludf.DUMMYFUNCTION("""COMPUTED_VALUE"""),4)</f>
        <v>4</v>
      </c>
      <c r="AN7" s="103">
        <f ca="1">IFERROR(__xludf.DUMMYFUNCTION("""COMPUTED_VALUE"""),4)</f>
        <v>4</v>
      </c>
      <c r="AO7" s="103">
        <f ca="1">IFERROR(__xludf.DUMMYFUNCTION("""COMPUTED_VALUE"""),0)</f>
        <v>0</v>
      </c>
      <c r="AP7" s="103">
        <f ca="1">IFERROR(__xludf.DUMMYFUNCTION("""COMPUTED_VALUE"""),0)</f>
        <v>0</v>
      </c>
      <c r="AQ7" s="103">
        <f ca="1">IFERROR(__xludf.DUMMYFUNCTION("""COMPUTED_VALUE"""),0)</f>
        <v>0</v>
      </c>
      <c r="AR7" s="103">
        <f ca="1">IFERROR(__xludf.DUMMYFUNCTION("""COMPUTED_VALUE"""),0)</f>
        <v>0</v>
      </c>
      <c r="AS7" s="103">
        <f ca="1">IFERROR(__xludf.DUMMYFUNCTION("""COMPUTED_VALUE"""),0)</f>
        <v>0</v>
      </c>
      <c r="AT7" s="103">
        <f ca="1">IFERROR(__xludf.DUMMYFUNCTION("""COMPUTED_VALUE"""),0)</f>
        <v>0</v>
      </c>
      <c r="AU7" s="103">
        <f ca="1">IFERROR(__xludf.DUMMYFUNCTION("""COMPUTED_VALUE"""),0)</f>
        <v>0</v>
      </c>
      <c r="AV7" s="103">
        <f ca="1">IFERROR(__xludf.DUMMYFUNCTION("""COMPUTED_VALUE"""),0)</f>
        <v>0</v>
      </c>
      <c r="AW7" s="103">
        <f ca="1">IFERROR(__xludf.DUMMYFUNCTION("""COMPUTED_VALUE"""),0)</f>
        <v>0</v>
      </c>
      <c r="AX7" s="103">
        <f ca="1">IFERROR(__xludf.DUMMYFUNCTION("""COMPUTED_VALUE"""),0)</f>
        <v>0</v>
      </c>
      <c r="AY7" s="103">
        <f ca="1">IFERROR(__xludf.DUMMYFUNCTION("""COMPUTED_VALUE"""),0)</f>
        <v>0</v>
      </c>
      <c r="AZ7" s="103">
        <f ca="1">IFERROR(__xludf.DUMMYFUNCTION("""COMPUTED_VALUE"""),0)</f>
        <v>0</v>
      </c>
      <c r="BA7" s="103">
        <f ca="1">IFERROR(__xludf.DUMMYFUNCTION("""COMPUTED_VALUE"""),50)</f>
        <v>50</v>
      </c>
      <c r="BB7" s="103">
        <f ca="1">IFERROR(__xludf.DUMMYFUNCTION("""COMPUTED_VALUE"""),52)</f>
        <v>52</v>
      </c>
      <c r="BC7" s="103"/>
      <c r="BD7" s="103"/>
      <c r="BE7" s="103"/>
      <c r="BF7" s="103"/>
      <c r="BG7" s="103"/>
      <c r="BH7" s="103"/>
    </row>
    <row r="8" spans="1:67" ht="12.75">
      <c r="A8" s="114" t="s">
        <v>25</v>
      </c>
      <c r="B8" s="115"/>
      <c r="C8" s="116"/>
      <c r="D8" s="107">
        <f ca="1">IFERROR(__xludf.DUMMYFUNCTION("""COMPUTED_VALUE"""),44468.3056387268)</f>
        <v>44468.305638726801</v>
      </c>
      <c r="E8" s="103" t="str">
        <f ca="1">IFERROR(__xludf.DUMMYFUNCTION("""COMPUTED_VALUE"""),"tour@rtp.com")</f>
        <v>tour@rtp.com</v>
      </c>
      <c r="F8" s="103" t="str">
        <f ca="1">IFERROR(__xludf.DUMMYFUNCTION("""COMPUTED_VALUE"""),"rtp2021")</f>
        <v>rtp2021</v>
      </c>
      <c r="G8" s="103"/>
      <c r="H8" s="103" t="str">
        <f ca="1">IFERROR(__xludf.DUMMYFUNCTION("""COMPUTED_VALUE"""),"บช.ทท.")</f>
        <v>บช.ทท.</v>
      </c>
      <c r="I8" s="103">
        <f ca="1">IFERROR(__xludf.DUMMYFUNCTION("""COMPUTED_VALUE"""),0)</f>
        <v>0</v>
      </c>
      <c r="J8" s="103">
        <f ca="1">IFERROR(__xludf.DUMMYFUNCTION("""COMPUTED_VALUE"""),0)</f>
        <v>0</v>
      </c>
      <c r="K8" s="103">
        <f ca="1">IFERROR(__xludf.DUMMYFUNCTION("""COMPUTED_VALUE"""),0)</f>
        <v>0</v>
      </c>
      <c r="L8" s="103">
        <f ca="1">IFERROR(__xludf.DUMMYFUNCTION("""COMPUTED_VALUE"""),0)</f>
        <v>0</v>
      </c>
      <c r="M8" s="103">
        <f ca="1">IFERROR(__xludf.DUMMYFUNCTION("""COMPUTED_VALUE"""),0)</f>
        <v>0</v>
      </c>
      <c r="N8" s="103">
        <f ca="1">IFERROR(__xludf.DUMMYFUNCTION("""COMPUTED_VALUE"""),0)</f>
        <v>0</v>
      </c>
      <c r="O8" s="103">
        <f ca="1">IFERROR(__xludf.DUMMYFUNCTION("""COMPUTED_VALUE"""),0)</f>
        <v>0</v>
      </c>
      <c r="P8" s="103">
        <f ca="1">IFERROR(__xludf.DUMMYFUNCTION("""COMPUTED_VALUE"""),0)</f>
        <v>0</v>
      </c>
      <c r="Q8" s="103">
        <f ca="1">IFERROR(__xludf.DUMMYFUNCTION("""COMPUTED_VALUE"""),0)</f>
        <v>0</v>
      </c>
      <c r="R8" s="103">
        <f ca="1">IFERROR(__xludf.DUMMYFUNCTION("""COMPUTED_VALUE"""),0)</f>
        <v>0</v>
      </c>
      <c r="S8" s="103">
        <f ca="1">IFERROR(__xludf.DUMMYFUNCTION("""COMPUTED_VALUE"""),0)</f>
        <v>0</v>
      </c>
      <c r="T8" s="103">
        <f ca="1">IFERROR(__xludf.DUMMYFUNCTION("""COMPUTED_VALUE"""),0)</f>
        <v>0</v>
      </c>
      <c r="U8" s="103">
        <f ca="1">IFERROR(__xludf.DUMMYFUNCTION("""COMPUTED_VALUE"""),0)</f>
        <v>0</v>
      </c>
      <c r="V8" s="103">
        <f ca="1">IFERROR(__xludf.DUMMYFUNCTION("""COMPUTED_VALUE"""),0)</f>
        <v>0</v>
      </c>
      <c r="W8" s="103">
        <f ca="1">IFERROR(__xludf.DUMMYFUNCTION("""COMPUTED_VALUE"""),0)</f>
        <v>0</v>
      </c>
      <c r="X8" s="103">
        <f ca="1">IFERROR(__xludf.DUMMYFUNCTION("""COMPUTED_VALUE"""),0)</f>
        <v>0</v>
      </c>
      <c r="Y8" s="103">
        <f ca="1">IFERROR(__xludf.DUMMYFUNCTION("""COMPUTED_VALUE"""),0)</f>
        <v>0</v>
      </c>
      <c r="Z8" s="103">
        <f ca="1">IFERROR(__xludf.DUMMYFUNCTION("""COMPUTED_VALUE"""),0)</f>
        <v>0</v>
      </c>
      <c r="AA8" s="103">
        <f ca="1">IFERROR(__xludf.DUMMYFUNCTION("""COMPUTED_VALUE"""),1)</f>
        <v>1</v>
      </c>
      <c r="AB8" s="103">
        <f ca="1">IFERROR(__xludf.DUMMYFUNCTION("""COMPUTED_VALUE"""),1)</f>
        <v>1</v>
      </c>
      <c r="AC8" s="103">
        <f ca="1">IFERROR(__xludf.DUMMYFUNCTION("""COMPUTED_VALUE"""),6)</f>
        <v>6</v>
      </c>
      <c r="AD8" s="103">
        <f ca="1">IFERROR(__xludf.DUMMYFUNCTION("""COMPUTED_VALUE"""),6)</f>
        <v>6</v>
      </c>
      <c r="AE8" s="103">
        <f ca="1">IFERROR(__xludf.DUMMYFUNCTION("""COMPUTED_VALUE"""),1)</f>
        <v>1</v>
      </c>
      <c r="AF8" s="103">
        <f ca="1">IFERROR(__xludf.DUMMYFUNCTION("""COMPUTED_VALUE"""),1)</f>
        <v>1</v>
      </c>
      <c r="AG8" s="103">
        <f ca="1">IFERROR(__xludf.DUMMYFUNCTION("""COMPUTED_VALUE"""),3)</f>
        <v>3</v>
      </c>
      <c r="AH8" s="103">
        <f ca="1">IFERROR(__xludf.DUMMYFUNCTION("""COMPUTED_VALUE"""),3)</f>
        <v>3</v>
      </c>
      <c r="AI8" s="103">
        <f ca="1">IFERROR(__xludf.DUMMYFUNCTION("""COMPUTED_VALUE"""),0)</f>
        <v>0</v>
      </c>
      <c r="AJ8" s="103">
        <f ca="1">IFERROR(__xludf.DUMMYFUNCTION("""COMPUTED_VALUE"""),0)</f>
        <v>0</v>
      </c>
      <c r="AK8" s="103">
        <f ca="1">IFERROR(__xludf.DUMMYFUNCTION("""COMPUTED_VALUE"""),0)</f>
        <v>0</v>
      </c>
      <c r="AL8" s="103">
        <f ca="1">IFERROR(__xludf.DUMMYFUNCTION("""COMPUTED_VALUE"""),0)</f>
        <v>0</v>
      </c>
      <c r="AM8" s="103">
        <f ca="1">IFERROR(__xludf.DUMMYFUNCTION("""COMPUTED_VALUE"""),5)</f>
        <v>5</v>
      </c>
      <c r="AN8" s="103">
        <f ca="1">IFERROR(__xludf.DUMMYFUNCTION("""COMPUTED_VALUE"""),5)</f>
        <v>5</v>
      </c>
      <c r="AO8" s="103">
        <f ca="1">IFERROR(__xludf.DUMMYFUNCTION("""COMPUTED_VALUE"""),0)</f>
        <v>0</v>
      </c>
      <c r="AP8" s="103">
        <f ca="1">IFERROR(__xludf.DUMMYFUNCTION("""COMPUTED_VALUE"""),0)</f>
        <v>0</v>
      </c>
      <c r="AQ8" s="103">
        <f ca="1">IFERROR(__xludf.DUMMYFUNCTION("""COMPUTED_VALUE"""),3)</f>
        <v>3</v>
      </c>
      <c r="AR8" s="103">
        <f ca="1">IFERROR(__xludf.DUMMYFUNCTION("""COMPUTED_VALUE"""),3)</f>
        <v>3</v>
      </c>
      <c r="AS8" s="103">
        <f ca="1">IFERROR(__xludf.DUMMYFUNCTION("""COMPUTED_VALUE"""),0)</f>
        <v>0</v>
      </c>
      <c r="AT8" s="103">
        <f ca="1">IFERROR(__xludf.DUMMYFUNCTION("""COMPUTED_VALUE"""),0)</f>
        <v>0</v>
      </c>
      <c r="AU8" s="103">
        <f ca="1">IFERROR(__xludf.DUMMYFUNCTION("""COMPUTED_VALUE"""),0)</f>
        <v>0</v>
      </c>
      <c r="AV8" s="103">
        <f ca="1">IFERROR(__xludf.DUMMYFUNCTION("""COMPUTED_VALUE"""),0)</f>
        <v>0</v>
      </c>
      <c r="AW8" s="103">
        <f ca="1">IFERROR(__xludf.DUMMYFUNCTION("""COMPUTED_VALUE"""),1)</f>
        <v>1</v>
      </c>
      <c r="AX8" s="103">
        <f ca="1">IFERROR(__xludf.DUMMYFUNCTION("""COMPUTED_VALUE"""),1)</f>
        <v>1</v>
      </c>
      <c r="AY8" s="103">
        <f ca="1">IFERROR(__xludf.DUMMYFUNCTION("""COMPUTED_VALUE"""),0)</f>
        <v>0</v>
      </c>
      <c r="AZ8" s="103">
        <f ca="1">IFERROR(__xludf.DUMMYFUNCTION("""COMPUTED_VALUE"""),0)</f>
        <v>0</v>
      </c>
      <c r="BA8" s="103">
        <f ca="1">IFERROR(__xludf.DUMMYFUNCTION("""COMPUTED_VALUE"""),67)</f>
        <v>67</v>
      </c>
      <c r="BB8" s="103">
        <f ca="1">IFERROR(__xludf.DUMMYFUNCTION("""COMPUTED_VALUE"""),59)</f>
        <v>59</v>
      </c>
      <c r="BC8" s="103"/>
      <c r="BD8" s="103"/>
      <c r="BE8" s="103"/>
      <c r="BF8" s="103"/>
      <c r="BG8" s="103"/>
      <c r="BH8" s="103"/>
    </row>
    <row r="9" spans="1:67" ht="12.75">
      <c r="A9" s="114" t="s">
        <v>26</v>
      </c>
      <c r="B9" s="115">
        <f t="shared" ref="B9:C9" ca="1" si="1">SUM(K:K)</f>
        <v>1</v>
      </c>
      <c r="C9" s="116">
        <f t="shared" ca="1" si="1"/>
        <v>1</v>
      </c>
      <c r="D9" s="107">
        <f ca="1">IFERROR(__xludf.DUMMYFUNCTION("""COMPUTED_VALUE"""),44469.3043874305)</f>
        <v>44469.3043874305</v>
      </c>
      <c r="E9" s="103" t="str">
        <f ca="1">IFERROR(__xludf.DUMMYFUNCTION("""COMPUTED_VALUE"""),"tour@rtp.com")</f>
        <v>tour@rtp.com</v>
      </c>
      <c r="F9" s="103" t="str">
        <f ca="1">IFERROR(__xludf.DUMMYFUNCTION("""COMPUTED_VALUE"""),"rtp2021")</f>
        <v>rtp2021</v>
      </c>
      <c r="G9" s="103"/>
      <c r="H9" s="103" t="str">
        <f ca="1">IFERROR(__xludf.DUMMYFUNCTION("""COMPUTED_VALUE"""),"บช.ทท.")</f>
        <v>บช.ทท.</v>
      </c>
      <c r="I9" s="103"/>
      <c r="J9" s="103"/>
      <c r="K9" s="103"/>
      <c r="L9" s="103"/>
      <c r="M9" s="103"/>
      <c r="N9" s="103"/>
      <c r="O9" s="103">
        <f ca="1">IFERROR(__xludf.DUMMYFUNCTION("""COMPUTED_VALUE"""),1)</f>
        <v>1</v>
      </c>
      <c r="P9" s="103">
        <f ca="1">IFERROR(__xludf.DUMMYFUNCTION("""COMPUTED_VALUE"""),1)</f>
        <v>1</v>
      </c>
      <c r="Q9" s="103"/>
      <c r="R9" s="103"/>
      <c r="S9" s="103">
        <f ca="1">IFERROR(__xludf.DUMMYFUNCTION("""COMPUTED_VALUE"""),1)</f>
        <v>1</v>
      </c>
      <c r="T9" s="103">
        <f ca="1">IFERROR(__xludf.DUMMYFUNCTION("""COMPUTED_VALUE"""),6)</f>
        <v>6</v>
      </c>
      <c r="U9" s="103">
        <f ca="1">IFERROR(__xludf.DUMMYFUNCTION("""COMPUTED_VALUE"""),2)</f>
        <v>2</v>
      </c>
      <c r="V9" s="103">
        <f ca="1">IFERROR(__xludf.DUMMYFUNCTION("""COMPUTED_VALUE"""),2)</f>
        <v>2</v>
      </c>
      <c r="W9" s="103"/>
      <c r="X9" s="103"/>
      <c r="Y9" s="103"/>
      <c r="Z9" s="103"/>
      <c r="AA9" s="103"/>
      <c r="AB9" s="103"/>
      <c r="AC9" s="103">
        <f ca="1">IFERROR(__xludf.DUMMYFUNCTION("""COMPUTED_VALUE"""),4)</f>
        <v>4</v>
      </c>
      <c r="AD9" s="103">
        <f ca="1">IFERROR(__xludf.DUMMYFUNCTION("""COMPUTED_VALUE"""),4)</f>
        <v>4</v>
      </c>
      <c r="AE9" s="103"/>
      <c r="AF9" s="103"/>
      <c r="AG9" s="103">
        <f ca="1">IFERROR(__xludf.DUMMYFUNCTION("""COMPUTED_VALUE"""),2)</f>
        <v>2</v>
      </c>
      <c r="AH9" s="103">
        <f ca="1">IFERROR(__xludf.DUMMYFUNCTION("""COMPUTED_VALUE"""),2)</f>
        <v>2</v>
      </c>
      <c r="AI9" s="103"/>
      <c r="AJ9" s="103"/>
      <c r="AK9" s="103">
        <f ca="1">IFERROR(__xludf.DUMMYFUNCTION("""COMPUTED_VALUE"""),2)</f>
        <v>2</v>
      </c>
      <c r="AL9" s="103">
        <f ca="1">IFERROR(__xludf.DUMMYFUNCTION("""COMPUTED_VALUE"""),2)</f>
        <v>2</v>
      </c>
      <c r="AM9" s="103">
        <f ca="1">IFERROR(__xludf.DUMMYFUNCTION("""COMPUTED_VALUE"""),5)</f>
        <v>5</v>
      </c>
      <c r="AN9" s="103">
        <f ca="1">IFERROR(__xludf.DUMMYFUNCTION("""COMPUTED_VALUE"""),5)</f>
        <v>5</v>
      </c>
      <c r="AO9" s="103"/>
      <c r="AP9" s="103"/>
      <c r="AQ9" s="103">
        <f ca="1">IFERROR(__xludf.DUMMYFUNCTION("""COMPUTED_VALUE"""),1)</f>
        <v>1</v>
      </c>
      <c r="AR9" s="103">
        <f ca="1">IFERROR(__xludf.DUMMYFUNCTION("""COMPUTED_VALUE"""),1)</f>
        <v>1</v>
      </c>
      <c r="AS9" s="103"/>
      <c r="AT9" s="103"/>
      <c r="AU9" s="103"/>
      <c r="AV9" s="103"/>
      <c r="AW9" s="103">
        <f ca="1">IFERROR(__xludf.DUMMYFUNCTION("""COMPUTED_VALUE"""),1)</f>
        <v>1</v>
      </c>
      <c r="AX9" s="103">
        <f ca="1">IFERROR(__xludf.DUMMYFUNCTION("""COMPUTED_VALUE"""),1)</f>
        <v>1</v>
      </c>
      <c r="AY9" s="103"/>
      <c r="AZ9" s="103"/>
      <c r="BA9" s="103">
        <f ca="1">IFERROR(__xludf.DUMMYFUNCTION("""COMPUTED_VALUE"""),39)</f>
        <v>39</v>
      </c>
      <c r="BB9" s="103">
        <f ca="1">IFERROR(__xludf.DUMMYFUNCTION("""COMPUTED_VALUE"""),39)</f>
        <v>39</v>
      </c>
      <c r="BC9" s="103"/>
      <c r="BD9" s="103"/>
      <c r="BE9" s="103"/>
      <c r="BF9" s="103"/>
      <c r="BG9" s="103"/>
      <c r="BH9" s="103"/>
    </row>
    <row r="10" spans="1:67" ht="12.75">
      <c r="A10" s="114" t="s">
        <v>27</v>
      </c>
      <c r="B10" s="115">
        <f t="shared" ref="B10:C10" ca="1" si="2">SUM(M:M)</f>
        <v>0</v>
      </c>
      <c r="C10" s="116">
        <f t="shared" ca="1" si="2"/>
        <v>0</v>
      </c>
      <c r="D10" s="107">
        <f ca="1">IFERROR(__xludf.DUMMYFUNCTION("""COMPUTED_VALUE"""),44470.2925134606)</f>
        <v>44470.292513460598</v>
      </c>
      <c r="E10" s="103" t="str">
        <f ca="1">IFERROR(__xludf.DUMMYFUNCTION("""COMPUTED_VALUE"""),"tour@rtp.com")</f>
        <v>tour@rtp.com</v>
      </c>
      <c r="F10" s="103" t="str">
        <f ca="1">IFERROR(__xludf.DUMMYFUNCTION("""COMPUTED_VALUE"""),"rtp2021")</f>
        <v>rtp2021</v>
      </c>
      <c r="G10" s="103"/>
      <c r="H10" s="103" t="str">
        <f ca="1">IFERROR(__xludf.DUMMYFUNCTION("""COMPUTED_VALUE"""),"บช.ทท.")</f>
        <v>บช.ทท.</v>
      </c>
      <c r="I10" s="103">
        <f ca="1">IFERROR(__xludf.DUMMYFUNCTION("""COMPUTED_VALUE"""),0)</f>
        <v>0</v>
      </c>
      <c r="J10" s="103">
        <f ca="1">IFERROR(__xludf.DUMMYFUNCTION("""COMPUTED_VALUE"""),0)</f>
        <v>0</v>
      </c>
      <c r="K10" s="103">
        <f ca="1">IFERROR(__xludf.DUMMYFUNCTION("""COMPUTED_VALUE"""),0)</f>
        <v>0</v>
      </c>
      <c r="L10" s="103">
        <f ca="1">IFERROR(__xludf.DUMMYFUNCTION("""COMPUTED_VALUE"""),0)</f>
        <v>0</v>
      </c>
      <c r="M10" s="103">
        <f ca="1">IFERROR(__xludf.DUMMYFUNCTION("""COMPUTED_VALUE"""),0)</f>
        <v>0</v>
      </c>
      <c r="N10" s="103">
        <f ca="1">IFERROR(__xludf.DUMMYFUNCTION("""COMPUTED_VALUE"""),0)</f>
        <v>0</v>
      </c>
      <c r="O10" s="103">
        <f ca="1">IFERROR(__xludf.DUMMYFUNCTION("""COMPUTED_VALUE"""),0)</f>
        <v>0</v>
      </c>
      <c r="P10" s="103">
        <f ca="1">IFERROR(__xludf.DUMMYFUNCTION("""COMPUTED_VALUE"""),0)</f>
        <v>0</v>
      </c>
      <c r="Q10" s="103">
        <f ca="1">IFERROR(__xludf.DUMMYFUNCTION("""COMPUTED_VALUE"""),0)</f>
        <v>0</v>
      </c>
      <c r="R10" s="103">
        <f ca="1">IFERROR(__xludf.DUMMYFUNCTION("""COMPUTED_VALUE"""),0)</f>
        <v>0</v>
      </c>
      <c r="S10" s="103">
        <f ca="1">IFERROR(__xludf.DUMMYFUNCTION("""COMPUTED_VALUE"""),0)</f>
        <v>0</v>
      </c>
      <c r="T10" s="103">
        <f ca="1">IFERROR(__xludf.DUMMYFUNCTION("""COMPUTED_VALUE"""),0)</f>
        <v>0</v>
      </c>
      <c r="U10" s="103">
        <f ca="1">IFERROR(__xludf.DUMMYFUNCTION("""COMPUTED_VALUE"""),1)</f>
        <v>1</v>
      </c>
      <c r="V10" s="103">
        <f ca="1">IFERROR(__xludf.DUMMYFUNCTION("""COMPUTED_VALUE"""),1)</f>
        <v>1</v>
      </c>
      <c r="W10" s="103">
        <f ca="1">IFERROR(__xludf.DUMMYFUNCTION("""COMPUTED_VALUE"""),0)</f>
        <v>0</v>
      </c>
      <c r="X10" s="103">
        <f ca="1">IFERROR(__xludf.DUMMYFUNCTION("""COMPUTED_VALUE"""),0)</f>
        <v>0</v>
      </c>
      <c r="Y10" s="103">
        <f ca="1">IFERROR(__xludf.DUMMYFUNCTION("""COMPUTED_VALUE"""),0)</f>
        <v>0</v>
      </c>
      <c r="Z10" s="103">
        <f ca="1">IFERROR(__xludf.DUMMYFUNCTION("""COMPUTED_VALUE"""),0)</f>
        <v>0</v>
      </c>
      <c r="AA10" s="103">
        <f ca="1">IFERROR(__xludf.DUMMYFUNCTION("""COMPUTED_VALUE"""),0)</f>
        <v>0</v>
      </c>
      <c r="AB10" s="103">
        <f ca="1">IFERROR(__xludf.DUMMYFUNCTION("""COMPUTED_VALUE"""),0)</f>
        <v>0</v>
      </c>
      <c r="AC10" s="103">
        <f ca="1">IFERROR(__xludf.DUMMYFUNCTION("""COMPUTED_VALUE"""),0)</f>
        <v>0</v>
      </c>
      <c r="AD10" s="103">
        <f ca="1">IFERROR(__xludf.DUMMYFUNCTION("""COMPUTED_VALUE"""),0)</f>
        <v>0</v>
      </c>
      <c r="AE10" s="103">
        <f ca="1">IFERROR(__xludf.DUMMYFUNCTION("""COMPUTED_VALUE"""),0)</f>
        <v>0</v>
      </c>
      <c r="AF10" s="103">
        <f ca="1">IFERROR(__xludf.DUMMYFUNCTION("""COMPUTED_VALUE"""),0)</f>
        <v>0</v>
      </c>
      <c r="AG10" s="103">
        <f ca="1">IFERROR(__xludf.DUMMYFUNCTION("""COMPUTED_VALUE"""),3)</f>
        <v>3</v>
      </c>
      <c r="AH10" s="103">
        <f ca="1">IFERROR(__xludf.DUMMYFUNCTION("""COMPUTED_VALUE"""),3)</f>
        <v>3</v>
      </c>
      <c r="AI10" s="103">
        <f ca="1">IFERROR(__xludf.DUMMYFUNCTION("""COMPUTED_VALUE"""),0)</f>
        <v>0</v>
      </c>
      <c r="AJ10" s="103">
        <f ca="1">IFERROR(__xludf.DUMMYFUNCTION("""COMPUTED_VALUE"""),0)</f>
        <v>0</v>
      </c>
      <c r="AK10" s="103">
        <f ca="1">IFERROR(__xludf.DUMMYFUNCTION("""COMPUTED_VALUE"""),1)</f>
        <v>1</v>
      </c>
      <c r="AL10" s="103">
        <f ca="1">IFERROR(__xludf.DUMMYFUNCTION("""COMPUTED_VALUE"""),1)</f>
        <v>1</v>
      </c>
      <c r="AM10" s="103">
        <f ca="1">IFERROR(__xludf.DUMMYFUNCTION("""COMPUTED_VALUE"""),3)</f>
        <v>3</v>
      </c>
      <c r="AN10" s="103">
        <f ca="1">IFERROR(__xludf.DUMMYFUNCTION("""COMPUTED_VALUE"""),16)</f>
        <v>16</v>
      </c>
      <c r="AO10" s="103">
        <f ca="1">IFERROR(__xludf.DUMMYFUNCTION("""COMPUTED_VALUE"""),0)</f>
        <v>0</v>
      </c>
      <c r="AP10" s="103">
        <f ca="1">IFERROR(__xludf.DUMMYFUNCTION("""COMPUTED_VALUE"""),0)</f>
        <v>0</v>
      </c>
      <c r="AQ10" s="103">
        <f ca="1">IFERROR(__xludf.DUMMYFUNCTION("""COMPUTED_VALUE"""),0)</f>
        <v>0</v>
      </c>
      <c r="AR10" s="103">
        <f ca="1">IFERROR(__xludf.DUMMYFUNCTION("""COMPUTED_VALUE"""),0)</f>
        <v>0</v>
      </c>
      <c r="AS10" s="103">
        <f ca="1">IFERROR(__xludf.DUMMYFUNCTION("""COMPUTED_VALUE"""),0)</f>
        <v>0</v>
      </c>
      <c r="AT10" s="103">
        <f ca="1">IFERROR(__xludf.DUMMYFUNCTION("""COMPUTED_VALUE"""),0)</f>
        <v>0</v>
      </c>
      <c r="AU10" s="103">
        <f ca="1">IFERROR(__xludf.DUMMYFUNCTION("""COMPUTED_VALUE"""),0)</f>
        <v>0</v>
      </c>
      <c r="AV10" s="103">
        <f ca="1">IFERROR(__xludf.DUMMYFUNCTION("""COMPUTED_VALUE"""),0)</f>
        <v>0</v>
      </c>
      <c r="AW10" s="103">
        <f ca="1">IFERROR(__xludf.DUMMYFUNCTION("""COMPUTED_VALUE"""),0)</f>
        <v>0</v>
      </c>
      <c r="AX10" s="103">
        <f ca="1">IFERROR(__xludf.DUMMYFUNCTION("""COMPUTED_VALUE"""),0)</f>
        <v>0</v>
      </c>
      <c r="AY10" s="103">
        <f ca="1">IFERROR(__xludf.DUMMYFUNCTION("""COMPUTED_VALUE"""),0)</f>
        <v>0</v>
      </c>
      <c r="AZ10" s="103">
        <f ca="1">IFERROR(__xludf.DUMMYFUNCTION("""COMPUTED_VALUE"""),0)</f>
        <v>0</v>
      </c>
      <c r="BA10" s="103">
        <f ca="1">IFERROR(__xludf.DUMMYFUNCTION("""COMPUTED_VALUE"""),24)</f>
        <v>24</v>
      </c>
      <c r="BB10" s="103">
        <f ca="1">IFERROR(__xludf.DUMMYFUNCTION("""COMPUTED_VALUE"""),24)</f>
        <v>24</v>
      </c>
      <c r="BC10" s="103"/>
      <c r="BD10" s="103"/>
      <c r="BE10" s="103"/>
      <c r="BF10" s="103"/>
      <c r="BG10" s="103"/>
      <c r="BH10" s="103"/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1</v>
      </c>
      <c r="C12" s="116">
        <f t="shared" ca="1" si="3"/>
        <v>1</v>
      </c>
    </row>
    <row r="13" spans="1:67" ht="12.75">
      <c r="A13" s="114" t="s">
        <v>30</v>
      </c>
      <c r="B13" s="115">
        <f t="shared" ref="B13:C13" ca="1" si="4">SUM(Q:Q)</f>
        <v>1</v>
      </c>
      <c r="C13" s="116">
        <f t="shared" ca="1" si="4"/>
        <v>1</v>
      </c>
    </row>
    <row r="14" spans="1:67" ht="12.75">
      <c r="A14" s="114" t="s">
        <v>31</v>
      </c>
      <c r="B14" s="115">
        <f t="shared" ref="B14:C14" ca="1" si="5">SUM(S:S)</f>
        <v>3</v>
      </c>
      <c r="C14" s="116">
        <f t="shared" ca="1" si="5"/>
        <v>8</v>
      </c>
    </row>
    <row r="15" spans="1:67" ht="12.75">
      <c r="A15" s="117" t="s">
        <v>32</v>
      </c>
      <c r="B15" s="118">
        <f t="shared" ref="B15:C15" ca="1" si="6">SUM(B6:B14)</f>
        <v>6</v>
      </c>
      <c r="C15" s="119">
        <f t="shared" ca="1" si="6"/>
        <v>11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6</v>
      </c>
      <c r="C17" s="116">
        <f t="shared" ca="1" si="7"/>
        <v>6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2</v>
      </c>
      <c r="C20" s="116">
        <f t="shared" ca="1" si="10"/>
        <v>2</v>
      </c>
    </row>
    <row r="21" spans="1:3" ht="12.75">
      <c r="A21" s="114" t="s">
        <v>38</v>
      </c>
      <c r="B21" s="115">
        <f t="shared" ref="B21:C21" ca="1" si="11">SUM(AC:AC)</f>
        <v>25</v>
      </c>
      <c r="C21" s="116">
        <f t="shared" ca="1" si="11"/>
        <v>26</v>
      </c>
    </row>
    <row r="22" spans="1:3" ht="12.75">
      <c r="A22" s="114" t="s">
        <v>39</v>
      </c>
      <c r="B22" s="115">
        <f t="shared" ref="B22:C22" ca="1" si="12">SUM(AE:AE)</f>
        <v>10</v>
      </c>
      <c r="C22" s="116">
        <f t="shared" ca="1" si="12"/>
        <v>10</v>
      </c>
    </row>
    <row r="23" spans="1:3" ht="12.75">
      <c r="A23" s="114" t="s">
        <v>40</v>
      </c>
      <c r="B23" s="115">
        <f t="shared" ref="B23:C23" ca="1" si="13">SUM(AG:AG)</f>
        <v>31</v>
      </c>
      <c r="C23" s="116">
        <f t="shared" ca="1" si="13"/>
        <v>31</v>
      </c>
    </row>
    <row r="24" spans="1:3" ht="12.75">
      <c r="A24" s="117" t="s">
        <v>32</v>
      </c>
      <c r="B24" s="118">
        <f t="shared" ref="B24:C24" ca="1" si="14">SUM(B17:B23)</f>
        <v>74</v>
      </c>
      <c r="C24" s="119">
        <f t="shared" ca="1" si="14"/>
        <v>75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1</v>
      </c>
      <c r="C26" s="116">
        <f t="shared" ca="1" si="15"/>
        <v>1</v>
      </c>
    </row>
    <row r="27" spans="1:3" ht="12.75">
      <c r="A27" s="114" t="s">
        <v>43</v>
      </c>
      <c r="B27" s="115">
        <f t="shared" ref="B27:C27" ca="1" si="16">SUM(AK:AK)</f>
        <v>6</v>
      </c>
      <c r="C27" s="116">
        <f t="shared" ca="1" si="16"/>
        <v>7</v>
      </c>
    </row>
    <row r="28" spans="1:3" ht="12.75">
      <c r="A28" s="114" t="s">
        <v>44</v>
      </c>
      <c r="B28" s="115">
        <f t="shared" ref="B28:C28" ca="1" si="17">SUM(AM:AM)</f>
        <v>31</v>
      </c>
      <c r="C28" s="116">
        <f t="shared" ca="1" si="17"/>
        <v>48</v>
      </c>
    </row>
    <row r="29" spans="1:3" ht="12.75">
      <c r="A29" s="117" t="s">
        <v>32</v>
      </c>
      <c r="B29" s="118">
        <f t="shared" ref="B29:C29" ca="1" si="18">SUM(B26:B28)</f>
        <v>38</v>
      </c>
      <c r="C29" s="119">
        <f t="shared" ca="1" si="18"/>
        <v>56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4</v>
      </c>
      <c r="C32" s="116">
        <f t="shared" ca="1" si="20"/>
        <v>4</v>
      </c>
    </row>
    <row r="33" spans="1:67" ht="12.75">
      <c r="A33" s="114" t="s">
        <v>48</v>
      </c>
      <c r="B33" s="115">
        <f t="shared" ref="B33:C33" ca="1" si="21">SUM(AS:AS)</f>
        <v>2</v>
      </c>
      <c r="C33" s="116">
        <f t="shared" ca="1" si="21"/>
        <v>2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5</v>
      </c>
      <c r="C35" s="116">
        <f t="shared" ca="1" si="23"/>
        <v>5</v>
      </c>
    </row>
    <row r="36" spans="1:67" ht="12.75">
      <c r="A36" s="117" t="s">
        <v>32</v>
      </c>
      <c r="B36" s="118">
        <f t="shared" ref="B36:C36" ca="1" si="24">SUM(B31:B35)</f>
        <v>11</v>
      </c>
      <c r="C36" s="119">
        <f t="shared" ca="1" si="24"/>
        <v>11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231</v>
      </c>
      <c r="C38" s="124">
        <f t="shared" ca="1" si="26"/>
        <v>219</v>
      </c>
    </row>
    <row r="39" spans="1:67" ht="15">
      <c r="A39" s="126" t="s">
        <v>20</v>
      </c>
      <c r="B39" s="127">
        <f t="shared" ref="B39:C39" ca="1" si="27">SUM(B15,B24,B29,B36,B37,B38)</f>
        <v>360</v>
      </c>
      <c r="C39" s="128">
        <f t="shared" ca="1" si="27"/>
        <v>372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/>
      <c r="C2" s="102" t="s">
        <v>72</v>
      </c>
      <c r="D2" s="103" t="str">
        <f ca="1">IFERROR(__xludf.DUMMYFUNCTION("QUERY('Form Responses 1'!A:BE,""select * where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13</v>
      </c>
      <c r="B3" s="105" t="s">
        <v>73</v>
      </c>
      <c r="C3" s="106" t="s">
        <v>73</v>
      </c>
      <c r="D3" s="107">
        <f ca="1">IFERROR(__xludf.DUMMYFUNCTION("""COMPUTED_VALUE"""),44463.75)</f>
        <v>44463.75</v>
      </c>
      <c r="E3" s="103" t="str">
        <f ca="1">IFERROR(__xludf.DUMMYFUNCTION("""COMPUTED_VALUE"""),"border@rtp.com")</f>
        <v>border@rtp.com</v>
      </c>
      <c r="F3" s="108" t="str">
        <f ca="1">IFERROR(__xludf.DUMMYFUNCTION("""COMPUTED_VALUE"""),"rtp2021")</f>
        <v>rtp2021</v>
      </c>
      <c r="G3" s="103"/>
      <c r="H3" s="108" t="str">
        <f ca="1">IFERROR(__xludf.DUMMYFUNCTION("""COMPUTED_VALUE"""),"บช.ตชด.")</f>
        <v>บช.ตชด.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>
        <f ca="1">IFERROR(__xludf.DUMMYFUNCTION("""COMPUTED_VALUE"""),2)</f>
        <v>2</v>
      </c>
      <c r="AD3" s="108">
        <f ca="1">IFERROR(__xludf.DUMMYFUNCTION("""COMPUTED_VALUE"""),2)</f>
        <v>2</v>
      </c>
      <c r="AE3" s="108"/>
      <c r="AF3" s="108"/>
      <c r="AG3" s="108">
        <f ca="1">IFERROR(__xludf.DUMMYFUNCTION("""COMPUTED_VALUE"""),1)</f>
        <v>1</v>
      </c>
      <c r="AH3" s="108">
        <f ca="1">IFERROR(__xludf.DUMMYFUNCTION("""COMPUTED_VALUE"""),1)</f>
        <v>1</v>
      </c>
      <c r="AI3" s="108"/>
      <c r="AJ3" s="108"/>
      <c r="AK3" s="108"/>
      <c r="AL3" s="108"/>
      <c r="AM3" s="108">
        <f ca="1">IFERROR(__xludf.DUMMYFUNCTION("""COMPUTED_VALUE"""),2)</f>
        <v>2</v>
      </c>
      <c r="AN3" s="108">
        <f ca="1">IFERROR(__xludf.DUMMYFUNCTION("""COMPUTED_VALUE"""),4)</f>
        <v>4</v>
      </c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>
        <f ca="1">IFERROR(__xludf.DUMMYFUNCTION("""COMPUTED_VALUE"""),1)</f>
        <v>1</v>
      </c>
      <c r="BB3" s="108">
        <f ca="1">IFERROR(__xludf.DUMMYFUNCTION("""COMPUTED_VALUE"""),1)</f>
        <v>1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  <c r="D4" s="107">
        <f ca="1">IFERROR(__xludf.DUMMYFUNCTION("""COMPUTED_VALUE"""),44464.3281153356)</f>
        <v>44464.3281153356</v>
      </c>
      <c r="E4" s="103" t="str">
        <f ca="1">IFERROR(__xludf.DUMMYFUNCTION("""COMPUTED_VALUE"""),"border@rtp.com")</f>
        <v>border@rtp.com</v>
      </c>
      <c r="F4" s="103" t="str">
        <f ca="1">IFERROR(__xludf.DUMMYFUNCTION("""COMPUTED_VALUE"""),"rtp2021")</f>
        <v>rtp2021</v>
      </c>
      <c r="G4" s="103"/>
      <c r="H4" s="103" t="str">
        <f ca="1">IFERROR(__xludf.DUMMYFUNCTION("""COMPUTED_VALUE"""),"บช.ตชด.")</f>
        <v>บช.ตชด.</v>
      </c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>
        <f ca="1">IFERROR(__xludf.DUMMYFUNCTION("""COMPUTED_VALUE"""),1)</f>
        <v>1</v>
      </c>
      <c r="AH4" s="103">
        <f ca="1">IFERROR(__xludf.DUMMYFUNCTION("""COMPUTED_VALUE"""),1)</f>
        <v>1</v>
      </c>
      <c r="AI4" s="103"/>
      <c r="AJ4" s="103"/>
      <c r="AK4" s="103"/>
      <c r="AL4" s="103"/>
      <c r="AM4" s="103">
        <f ca="1">IFERROR(__xludf.DUMMYFUNCTION("""COMPUTED_VALUE"""),2)</f>
        <v>2</v>
      </c>
      <c r="AN4" s="103">
        <f ca="1">IFERROR(__xludf.DUMMYFUNCTION("""COMPUTED_VALUE"""),8)</f>
        <v>8</v>
      </c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>
        <f ca="1">IFERROR(__xludf.DUMMYFUNCTION("""COMPUTED_VALUE"""),1)</f>
        <v>1</v>
      </c>
      <c r="BB4" s="103">
        <f ca="1">IFERROR(__xludf.DUMMYFUNCTION("""COMPUTED_VALUE"""),1)</f>
        <v>1</v>
      </c>
      <c r="BC4" s="103"/>
      <c r="BD4" s="103"/>
      <c r="BE4" s="103"/>
      <c r="BF4" s="103"/>
      <c r="BG4" s="103"/>
      <c r="BH4" s="103"/>
    </row>
    <row r="5" spans="1:67" ht="12.75">
      <c r="A5" s="638"/>
      <c r="B5" s="109" t="s">
        <v>21</v>
      </c>
      <c r="C5" s="110" t="s">
        <v>22</v>
      </c>
      <c r="D5" s="107">
        <f ca="1">IFERROR(__xludf.DUMMYFUNCTION("""COMPUTED_VALUE"""),44465.31155375)</f>
        <v>44465.311553749998</v>
      </c>
      <c r="E5" s="103" t="str">
        <f ca="1">IFERROR(__xludf.DUMMYFUNCTION("""COMPUTED_VALUE"""),"border@rtp.com")</f>
        <v>border@rtp.com</v>
      </c>
      <c r="F5" s="103" t="str">
        <f ca="1">IFERROR(__xludf.DUMMYFUNCTION("""COMPUTED_VALUE"""),"rtp2021")</f>
        <v>rtp2021</v>
      </c>
      <c r="G5" s="103"/>
      <c r="H5" s="103" t="str">
        <f ca="1">IFERROR(__xludf.DUMMYFUNCTION("""COMPUTED_VALUE"""),"บช.ตชด.")</f>
        <v>บช.ตชด.</v>
      </c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>
        <f ca="1">IFERROR(__xludf.DUMMYFUNCTION("""COMPUTED_VALUE"""),1)</f>
        <v>1</v>
      </c>
      <c r="AH5" s="103">
        <f ca="1">IFERROR(__xludf.DUMMYFUNCTION("""COMPUTED_VALUE"""),1)</f>
        <v>1</v>
      </c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>
        <f ca="1">IFERROR(__xludf.DUMMYFUNCTION("""COMPUTED_VALUE"""),1)</f>
        <v>1</v>
      </c>
      <c r="BB5" s="103">
        <f ca="1">IFERROR(__xludf.DUMMYFUNCTION("""COMPUTED_VALUE"""),1)</f>
        <v>1</v>
      </c>
      <c r="BC5" s="103"/>
      <c r="BD5" s="103"/>
      <c r="BE5" s="103"/>
      <c r="BF5" s="103"/>
      <c r="BG5" s="103"/>
      <c r="BH5" s="103"/>
    </row>
    <row r="6" spans="1:67" ht="12.75">
      <c r="A6" s="111" t="s">
        <v>23</v>
      </c>
      <c r="B6" s="112"/>
      <c r="C6" s="113"/>
      <c r="D6" s="107">
        <f ca="1">IFERROR(__xludf.DUMMYFUNCTION("""COMPUTED_VALUE"""),44466.3234416088)</f>
        <v>44466.323441608802</v>
      </c>
      <c r="E6" s="103" t="str">
        <f ca="1">IFERROR(__xludf.DUMMYFUNCTION("""COMPUTED_VALUE"""),"border@rtp.com")</f>
        <v>border@rtp.com</v>
      </c>
      <c r="F6" s="103" t="str">
        <f ca="1">IFERROR(__xludf.DUMMYFUNCTION("""COMPUTED_VALUE"""),"rtp2021")</f>
        <v>rtp2021</v>
      </c>
      <c r="G6" s="103"/>
      <c r="H6" s="103" t="str">
        <f ca="1">IFERROR(__xludf.DUMMYFUNCTION("""COMPUTED_VALUE"""),"บช.ตชด.")</f>
        <v>บช.ตชด.</v>
      </c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>
        <f ca="1">IFERROR(__xludf.DUMMYFUNCTION("""COMPUTED_VALUE"""),2)</f>
        <v>2</v>
      </c>
      <c r="AD6" s="103">
        <f ca="1">IFERROR(__xludf.DUMMYFUNCTION("""COMPUTED_VALUE"""),8)</f>
        <v>8</v>
      </c>
      <c r="AE6" s="103"/>
      <c r="AF6" s="103"/>
      <c r="AG6" s="103"/>
      <c r="AH6" s="103"/>
      <c r="AI6" s="103"/>
      <c r="AJ6" s="103"/>
      <c r="AK6" s="103"/>
      <c r="AL6" s="103"/>
      <c r="AM6" s="103">
        <f ca="1">IFERROR(__xludf.DUMMYFUNCTION("""COMPUTED_VALUE"""),1)</f>
        <v>1</v>
      </c>
      <c r="AN6" s="103">
        <f ca="1">IFERROR(__xludf.DUMMYFUNCTION("""COMPUTED_VALUE"""),12)</f>
        <v>12</v>
      </c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  <c r="D7" s="107">
        <f ca="1">IFERROR(__xludf.DUMMYFUNCTION("""COMPUTED_VALUE"""),44467.3160333217)</f>
        <v>44467.316033321702</v>
      </c>
      <c r="E7" s="103" t="str">
        <f ca="1">IFERROR(__xludf.DUMMYFUNCTION("""COMPUTED_VALUE"""),"border@rtp.com")</f>
        <v>border@rtp.com</v>
      </c>
      <c r="F7" s="103" t="str">
        <f ca="1">IFERROR(__xludf.DUMMYFUNCTION("""COMPUTED_VALUE"""),"rtp2021")</f>
        <v>rtp2021</v>
      </c>
      <c r="G7" s="103"/>
      <c r="H7" s="103" t="str">
        <f ca="1">IFERROR(__xludf.DUMMYFUNCTION("""COMPUTED_VALUE"""),"บช.ตชด.")</f>
        <v>บช.ตชด.</v>
      </c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>
        <f ca="1">IFERROR(__xludf.DUMMYFUNCTION("""COMPUTED_VALUE"""),2)</f>
        <v>2</v>
      </c>
      <c r="AD7" s="103">
        <f ca="1">IFERROR(__xludf.DUMMYFUNCTION("""COMPUTED_VALUE"""),2)</f>
        <v>2</v>
      </c>
      <c r="AE7" s="103">
        <f ca="1">IFERROR(__xludf.DUMMYFUNCTION("""COMPUTED_VALUE"""),1)</f>
        <v>1</v>
      </c>
      <c r="AF7" s="103">
        <f ca="1">IFERROR(__xludf.DUMMYFUNCTION("""COMPUTED_VALUE"""),2)</f>
        <v>2</v>
      </c>
      <c r="AG7" s="103"/>
      <c r="AH7" s="103"/>
      <c r="AI7" s="103"/>
      <c r="AJ7" s="103"/>
      <c r="AK7" s="103"/>
      <c r="AL7" s="103"/>
      <c r="AM7" s="103">
        <f ca="1">IFERROR(__xludf.DUMMYFUNCTION("""COMPUTED_VALUE"""),2)</f>
        <v>2</v>
      </c>
      <c r="AN7" s="103">
        <f ca="1">IFERROR(__xludf.DUMMYFUNCTION("""COMPUTED_VALUE"""),3)</f>
        <v>3</v>
      </c>
      <c r="AO7" s="103"/>
      <c r="AP7" s="103"/>
      <c r="AQ7" s="103">
        <f ca="1">IFERROR(__xludf.DUMMYFUNCTION("""COMPUTED_VALUE"""),2)</f>
        <v>2</v>
      </c>
      <c r="AR7" s="103">
        <f ca="1">IFERROR(__xludf.DUMMYFUNCTION("""COMPUTED_VALUE"""),3)</f>
        <v>3</v>
      </c>
      <c r="AS7" s="103"/>
      <c r="AT7" s="103"/>
      <c r="AU7" s="103"/>
      <c r="AV7" s="103"/>
      <c r="AW7" s="103"/>
      <c r="AX7" s="103"/>
      <c r="AY7" s="103"/>
      <c r="AZ7" s="103"/>
      <c r="BA7" s="103">
        <f ca="1">IFERROR(__xludf.DUMMYFUNCTION("""COMPUTED_VALUE"""),1)</f>
        <v>1</v>
      </c>
      <c r="BB7" s="103">
        <f ca="1">IFERROR(__xludf.DUMMYFUNCTION("""COMPUTED_VALUE"""),1)</f>
        <v>1</v>
      </c>
      <c r="BC7" s="103"/>
      <c r="BD7" s="103"/>
      <c r="BE7" s="103"/>
      <c r="BF7" s="103"/>
      <c r="BG7" s="103"/>
      <c r="BH7" s="103"/>
    </row>
    <row r="8" spans="1:67" ht="12.75">
      <c r="A8" s="114" t="s">
        <v>25</v>
      </c>
      <c r="B8" s="115"/>
      <c r="C8" s="116"/>
      <c r="D8" s="107">
        <f ca="1">IFERROR(__xludf.DUMMYFUNCTION("""COMPUTED_VALUE"""),44468.0953556249)</f>
        <v>44468.095355624901</v>
      </c>
      <c r="E8" s="103" t="str">
        <f ca="1">IFERROR(__xludf.DUMMYFUNCTION("""COMPUTED_VALUE"""),"border@rtp.com")</f>
        <v>border@rtp.com</v>
      </c>
      <c r="F8" s="103" t="str">
        <f ca="1">IFERROR(__xludf.DUMMYFUNCTION("""COMPUTED_VALUE"""),"rtp2021")</f>
        <v>rtp2021</v>
      </c>
      <c r="G8" s="103"/>
      <c r="H8" s="103" t="str">
        <f ca="1">IFERROR(__xludf.DUMMYFUNCTION("""COMPUTED_VALUE"""),"บช.ตชด.")</f>
        <v>บช.ตชด.</v>
      </c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>
        <f ca="1">IFERROR(__xludf.DUMMYFUNCTION("""COMPUTED_VALUE"""),2)</f>
        <v>2</v>
      </c>
      <c r="AD8" s="103">
        <f ca="1">IFERROR(__xludf.DUMMYFUNCTION("""COMPUTED_VALUE"""),2)</f>
        <v>2</v>
      </c>
      <c r="AE8" s="103"/>
      <c r="AF8" s="103"/>
      <c r="AG8" s="103">
        <f ca="1">IFERROR(__xludf.DUMMYFUNCTION("""COMPUTED_VALUE"""),2)</f>
        <v>2</v>
      </c>
      <c r="AH8" s="103">
        <f ca="1">IFERROR(__xludf.DUMMYFUNCTION("""COMPUTED_VALUE"""),2)</f>
        <v>2</v>
      </c>
      <c r="AI8" s="103"/>
      <c r="AJ8" s="103"/>
      <c r="AK8" s="103"/>
      <c r="AL8" s="103"/>
      <c r="AM8" s="103">
        <f ca="1">IFERROR(__xludf.DUMMYFUNCTION("""COMPUTED_VALUE"""),5)</f>
        <v>5</v>
      </c>
      <c r="AN8" s="103">
        <f ca="1">IFERROR(__xludf.DUMMYFUNCTION("""COMPUTED_VALUE"""),46)</f>
        <v>46</v>
      </c>
      <c r="AO8" s="103"/>
      <c r="AP8" s="103"/>
      <c r="AQ8" s="103">
        <f ca="1">IFERROR(__xludf.DUMMYFUNCTION("""COMPUTED_VALUE"""),1)</f>
        <v>1</v>
      </c>
      <c r="AR8" s="103">
        <f ca="1">IFERROR(__xludf.DUMMYFUNCTION("""COMPUTED_VALUE"""),1)</f>
        <v>1</v>
      </c>
      <c r="AS8" s="103">
        <f ca="1">IFERROR(__xludf.DUMMYFUNCTION("""COMPUTED_VALUE"""),1)</f>
        <v>1</v>
      </c>
      <c r="AT8" s="103">
        <f ca="1">IFERROR(__xludf.DUMMYFUNCTION("""COMPUTED_VALUE"""),1)</f>
        <v>1</v>
      </c>
      <c r="AU8" s="103"/>
      <c r="AV8" s="103"/>
      <c r="AW8" s="103"/>
      <c r="AX8" s="103"/>
      <c r="AY8" s="103"/>
      <c r="AZ8" s="103"/>
      <c r="BA8" s="103">
        <f ca="1">IFERROR(__xludf.DUMMYFUNCTION("""COMPUTED_VALUE"""),5)</f>
        <v>5</v>
      </c>
      <c r="BB8" s="103">
        <f ca="1">IFERROR(__xludf.DUMMYFUNCTION("""COMPUTED_VALUE"""),5)</f>
        <v>5</v>
      </c>
      <c r="BC8" s="103"/>
      <c r="BD8" s="103"/>
      <c r="BE8" s="103"/>
      <c r="BF8" s="103"/>
      <c r="BG8" s="103"/>
      <c r="BH8" s="103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  <c r="D9" s="107">
        <f ca="1">IFERROR(__xludf.DUMMYFUNCTION("""COMPUTED_VALUE"""),44469.3084743402)</f>
        <v>44469.3084743402</v>
      </c>
      <c r="E9" s="103" t="str">
        <f ca="1">IFERROR(__xludf.DUMMYFUNCTION("""COMPUTED_VALUE"""),"border@rtp.com")</f>
        <v>border@rtp.com</v>
      </c>
      <c r="F9" s="103" t="str">
        <f ca="1">IFERROR(__xludf.DUMMYFUNCTION("""COMPUTED_VALUE"""),"rtp2021")</f>
        <v>rtp2021</v>
      </c>
      <c r="G9" s="103"/>
      <c r="H9" s="103" t="str">
        <f ca="1">IFERROR(__xludf.DUMMYFUNCTION("""COMPUTED_VALUE"""),"บช.ตชด.")</f>
        <v>บช.ตชด.</v>
      </c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>
        <f ca="1">IFERROR(__xludf.DUMMYFUNCTION("""COMPUTED_VALUE"""),1)</f>
        <v>1</v>
      </c>
      <c r="AD9" s="103">
        <f ca="1">IFERROR(__xludf.DUMMYFUNCTION("""COMPUTED_VALUE"""),1)</f>
        <v>1</v>
      </c>
      <c r="AE9" s="103"/>
      <c r="AF9" s="103"/>
      <c r="AG9" s="103">
        <f ca="1">IFERROR(__xludf.DUMMYFUNCTION("""COMPUTED_VALUE"""),1)</f>
        <v>1</v>
      </c>
      <c r="AH9" s="103">
        <f ca="1">IFERROR(__xludf.DUMMYFUNCTION("""COMPUTED_VALUE"""),1)</f>
        <v>1</v>
      </c>
      <c r="AI9" s="103"/>
      <c r="AJ9" s="103"/>
      <c r="AK9" s="103"/>
      <c r="AL9" s="103"/>
      <c r="AM9" s="103">
        <f ca="1">IFERROR(__xludf.DUMMYFUNCTION("""COMPUTED_VALUE"""),2)</f>
        <v>2</v>
      </c>
      <c r="AN9" s="103">
        <f ca="1">IFERROR(__xludf.DUMMYFUNCTION("""COMPUTED_VALUE"""),4)</f>
        <v>4</v>
      </c>
      <c r="AO9" s="103"/>
      <c r="AP9" s="103"/>
      <c r="AQ9" s="103">
        <f ca="1">IFERROR(__xludf.DUMMYFUNCTION("""COMPUTED_VALUE"""),2)</f>
        <v>2</v>
      </c>
      <c r="AR9" s="103">
        <f ca="1">IFERROR(__xludf.DUMMYFUNCTION("""COMPUTED_VALUE"""),2)</f>
        <v>2</v>
      </c>
      <c r="AS9" s="103">
        <f ca="1">IFERROR(__xludf.DUMMYFUNCTION("""COMPUTED_VALUE"""),1)</f>
        <v>1</v>
      </c>
      <c r="AT9" s="103">
        <f ca="1">IFERROR(__xludf.DUMMYFUNCTION("""COMPUTED_VALUE"""),1)</f>
        <v>1</v>
      </c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</row>
    <row r="10" spans="1:67" ht="12.75">
      <c r="A10" s="114" t="s">
        <v>27</v>
      </c>
      <c r="B10" s="115">
        <f t="shared" ref="B10:C10" ca="1" si="2">SUM(M:M)</f>
        <v>0</v>
      </c>
      <c r="C10" s="116">
        <f t="shared" ca="1" si="2"/>
        <v>0</v>
      </c>
      <c r="D10" s="107">
        <f ca="1">IFERROR(__xludf.DUMMYFUNCTION("""COMPUTED_VALUE"""),44470.3094330671)</f>
        <v>44470.309433067101</v>
      </c>
      <c r="E10" s="103" t="str">
        <f ca="1">IFERROR(__xludf.DUMMYFUNCTION("""COMPUTED_VALUE"""),"border@rtp.com")</f>
        <v>border@rtp.com</v>
      </c>
      <c r="F10" s="103" t="str">
        <f ca="1">IFERROR(__xludf.DUMMYFUNCTION("""COMPUTED_VALUE"""),"rtp2021")</f>
        <v>rtp2021</v>
      </c>
      <c r="G10" s="103"/>
      <c r="H10" s="103" t="str">
        <f ca="1">IFERROR(__xludf.DUMMYFUNCTION("""COMPUTED_VALUE"""),"บช.ตชด.")</f>
        <v>บช.ตชด.</v>
      </c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>
        <f ca="1">IFERROR(__xludf.DUMMYFUNCTION("""COMPUTED_VALUE"""),2)</f>
        <v>2</v>
      </c>
      <c r="AD10" s="103">
        <f ca="1">IFERROR(__xludf.DUMMYFUNCTION("""COMPUTED_VALUE"""),2)</f>
        <v>2</v>
      </c>
      <c r="AE10" s="103">
        <f ca="1">IFERROR(__xludf.DUMMYFUNCTION("""COMPUTED_VALUE"""),1)</f>
        <v>1</v>
      </c>
      <c r="AF10" s="103">
        <f ca="1">IFERROR(__xludf.DUMMYFUNCTION("""COMPUTED_VALUE"""),1)</f>
        <v>1</v>
      </c>
      <c r="AG10" s="103"/>
      <c r="AH10" s="103"/>
      <c r="AI10" s="103"/>
      <c r="AJ10" s="103"/>
      <c r="AK10" s="103"/>
      <c r="AL10" s="103"/>
      <c r="AM10" s="103">
        <f ca="1">IFERROR(__xludf.DUMMYFUNCTION("""COMPUTED_VALUE"""),2)</f>
        <v>2</v>
      </c>
      <c r="AN10" s="103">
        <f ca="1">IFERROR(__xludf.DUMMYFUNCTION("""COMPUTED_VALUE"""),3)</f>
        <v>3</v>
      </c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0</v>
      </c>
      <c r="C12" s="116">
        <f t="shared" ca="1" si="3"/>
        <v>0</v>
      </c>
    </row>
    <row r="13" spans="1:67" ht="12.75">
      <c r="A13" s="114" t="s">
        <v>30</v>
      </c>
      <c r="B13" s="115">
        <f t="shared" ref="B13:C13" ca="1" si="4">SUM(Q:Q)</f>
        <v>0</v>
      </c>
      <c r="C13" s="116">
        <f t="shared" ca="1" si="4"/>
        <v>0</v>
      </c>
    </row>
    <row r="14" spans="1:67" ht="12.75">
      <c r="A14" s="114" t="s">
        <v>31</v>
      </c>
      <c r="B14" s="115">
        <f t="shared" ref="B14:C14" ca="1" si="5">SUM(S:S)</f>
        <v>0</v>
      </c>
      <c r="C14" s="116">
        <f t="shared" ca="1" si="5"/>
        <v>0</v>
      </c>
    </row>
    <row r="15" spans="1:67" ht="12.75">
      <c r="A15" s="117" t="s">
        <v>32</v>
      </c>
      <c r="B15" s="118">
        <f t="shared" ref="B15:C15" ca="1" si="6">SUM(B6:B14)</f>
        <v>0</v>
      </c>
      <c r="C15" s="119">
        <f t="shared" ca="1" si="6"/>
        <v>0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0</v>
      </c>
      <c r="C17" s="116">
        <f t="shared" ca="1" si="7"/>
        <v>0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0</v>
      </c>
      <c r="C20" s="116">
        <f t="shared" ca="1" si="10"/>
        <v>0</v>
      </c>
    </row>
    <row r="21" spans="1:3" ht="12.75">
      <c r="A21" s="114" t="s">
        <v>38</v>
      </c>
      <c r="B21" s="115">
        <f t="shared" ref="B21:C21" ca="1" si="11">SUM(AC:AC)</f>
        <v>11</v>
      </c>
      <c r="C21" s="116">
        <f t="shared" ca="1" si="11"/>
        <v>17</v>
      </c>
    </row>
    <row r="22" spans="1:3" ht="12.75">
      <c r="A22" s="114" t="s">
        <v>39</v>
      </c>
      <c r="B22" s="115">
        <f t="shared" ref="B22:C22" ca="1" si="12">SUM(AE:AE)</f>
        <v>2</v>
      </c>
      <c r="C22" s="116">
        <f t="shared" ca="1" si="12"/>
        <v>3</v>
      </c>
    </row>
    <row r="23" spans="1:3" ht="12.75">
      <c r="A23" s="114" t="s">
        <v>40</v>
      </c>
      <c r="B23" s="115">
        <f t="shared" ref="B23:C23" ca="1" si="13">SUM(AG:AG)</f>
        <v>6</v>
      </c>
      <c r="C23" s="116">
        <f t="shared" ca="1" si="13"/>
        <v>6</v>
      </c>
    </row>
    <row r="24" spans="1:3" ht="12.75">
      <c r="A24" s="117" t="s">
        <v>32</v>
      </c>
      <c r="B24" s="118">
        <f t="shared" ref="B24:C24" ca="1" si="14">SUM(B17:B23)</f>
        <v>19</v>
      </c>
      <c r="C24" s="119">
        <f t="shared" ca="1" si="14"/>
        <v>26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0</v>
      </c>
      <c r="C27" s="116">
        <f t="shared" ca="1" si="16"/>
        <v>0</v>
      </c>
    </row>
    <row r="28" spans="1:3" ht="12.75">
      <c r="A28" s="114" t="s">
        <v>44</v>
      </c>
      <c r="B28" s="115">
        <f t="shared" ref="B28:C28" ca="1" si="17">SUM(AM:AM)</f>
        <v>16</v>
      </c>
      <c r="C28" s="116">
        <f t="shared" ca="1" si="17"/>
        <v>80</v>
      </c>
    </row>
    <row r="29" spans="1:3" ht="12.75">
      <c r="A29" s="117" t="s">
        <v>32</v>
      </c>
      <c r="B29" s="118">
        <f t="shared" ref="B29:C29" ca="1" si="18">SUM(B26:B28)</f>
        <v>16</v>
      </c>
      <c r="C29" s="119">
        <f t="shared" ca="1" si="18"/>
        <v>80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5</v>
      </c>
      <c r="C32" s="116">
        <f t="shared" ca="1" si="20"/>
        <v>6</v>
      </c>
    </row>
    <row r="33" spans="1:67" ht="12.75">
      <c r="A33" s="114" t="s">
        <v>48</v>
      </c>
      <c r="B33" s="115">
        <f t="shared" ref="B33:C33" ca="1" si="21">SUM(AS:AS)</f>
        <v>2</v>
      </c>
      <c r="C33" s="116">
        <f t="shared" ca="1" si="21"/>
        <v>2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0</v>
      </c>
      <c r="C35" s="116">
        <f t="shared" ca="1" si="23"/>
        <v>0</v>
      </c>
    </row>
    <row r="36" spans="1:67" ht="12.75">
      <c r="A36" s="117" t="s">
        <v>32</v>
      </c>
      <c r="B36" s="118">
        <f t="shared" ref="B36:C36" ca="1" si="24">SUM(B31:B35)</f>
        <v>7</v>
      </c>
      <c r="C36" s="119">
        <f t="shared" ca="1" si="24"/>
        <v>8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9</v>
      </c>
      <c r="C38" s="124">
        <f t="shared" ca="1" si="26"/>
        <v>9</v>
      </c>
    </row>
    <row r="39" spans="1:67" ht="15">
      <c r="A39" s="126" t="s">
        <v>20</v>
      </c>
      <c r="B39" s="127">
        <f t="shared" ref="B39:C39" ca="1" si="27">SUM(B15,B24,B29,B36,B37,B38)</f>
        <v>51</v>
      </c>
      <c r="C39" s="128">
        <f t="shared" ca="1" si="27"/>
        <v>123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 t="s">
        <v>77</v>
      </c>
      <c r="C2" s="102" t="s">
        <v>72</v>
      </c>
      <c r="D2" s="103" t="str">
        <f ca="1">IFERROR(__xludf.DUMMYFUNCTION("QUERY('Form Responses 1'!A:BE,""select * where A&gt;= datetime '""&amp;TEXT(B3,""yyyy-mm-dd HH:mm:ss"")&amp;""' and A&lt;= datetime '""&amp;TEXT(B3+1,""yyyy-mm-dd HH:mm:ss"")&amp;""' and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9</v>
      </c>
      <c r="B3" s="129" t="e">
        <f>#REF!</f>
        <v>#REF!</v>
      </c>
      <c r="C3" s="131" t="e">
        <f>B3-1</f>
        <v>#REF!</v>
      </c>
      <c r="D3" s="130">
        <f ca="1">IFERROR(__xludf.DUMMYFUNCTION("""COMPUTED_VALUE"""),44470.3317595949)</f>
        <v>44470.331759594897</v>
      </c>
      <c r="E3" s="108" t="str">
        <f ca="1">IFERROR(__xludf.DUMMYFUNCTION("""COMPUTED_VALUE"""),"p1@rtp.com")</f>
        <v>p1@rtp.com</v>
      </c>
      <c r="F3" s="108" t="str">
        <f ca="1">IFERROR(__xludf.DUMMYFUNCTION("""COMPUTED_VALUE"""),"rtp2021")</f>
        <v>rtp2021</v>
      </c>
      <c r="G3" s="108"/>
      <c r="H3" s="108" t="str">
        <f ca="1">IFERROR(__xludf.DUMMYFUNCTION("""COMPUTED_VALUE"""),"ภ.1")</f>
        <v>ภ.1</v>
      </c>
      <c r="I3" s="108"/>
      <c r="J3" s="108"/>
      <c r="K3" s="108"/>
      <c r="L3" s="108"/>
      <c r="M3" s="108">
        <f ca="1">IFERROR(__xludf.DUMMYFUNCTION("""COMPUTED_VALUE"""),12)</f>
        <v>12</v>
      </c>
      <c r="N3" s="108">
        <f ca="1">IFERROR(__xludf.DUMMYFUNCTION("""COMPUTED_VALUE"""),13)</f>
        <v>13</v>
      </c>
      <c r="O3" s="108"/>
      <c r="P3" s="108"/>
      <c r="Q3" s="108">
        <f ca="1">IFERROR(__xludf.DUMMYFUNCTION("""COMPUTED_VALUE"""),10)</f>
        <v>10</v>
      </c>
      <c r="R3" s="108">
        <f ca="1">IFERROR(__xludf.DUMMYFUNCTION("""COMPUTED_VALUE"""),14)</f>
        <v>14</v>
      </c>
      <c r="S3" s="108">
        <f ca="1">IFERROR(__xludf.DUMMYFUNCTION("""COMPUTED_VALUE"""),7)</f>
        <v>7</v>
      </c>
      <c r="T3" s="108">
        <f ca="1">IFERROR(__xludf.DUMMYFUNCTION("""COMPUTED_VALUE"""),28)</f>
        <v>28</v>
      </c>
      <c r="U3" s="108">
        <f ca="1">IFERROR(__xludf.DUMMYFUNCTION("""COMPUTED_VALUE"""),3)</f>
        <v>3</v>
      </c>
      <c r="V3" s="108">
        <f ca="1">IFERROR(__xludf.DUMMYFUNCTION("""COMPUTED_VALUE"""),3)</f>
        <v>3</v>
      </c>
      <c r="W3" s="108"/>
      <c r="X3" s="108"/>
      <c r="Y3" s="108"/>
      <c r="Z3" s="108"/>
      <c r="AA3" s="108"/>
      <c r="AB3" s="108"/>
      <c r="AC3" s="108">
        <f ca="1">IFERROR(__xludf.DUMMYFUNCTION("""COMPUTED_VALUE"""),18)</f>
        <v>18</v>
      </c>
      <c r="AD3" s="108">
        <f ca="1">IFERROR(__xludf.DUMMYFUNCTION("""COMPUTED_VALUE"""),20)</f>
        <v>20</v>
      </c>
      <c r="AE3" s="108">
        <f ca="1">IFERROR(__xludf.DUMMYFUNCTION("""COMPUTED_VALUE"""),18)</f>
        <v>18</v>
      </c>
      <c r="AF3" s="108">
        <f ca="1">IFERROR(__xludf.DUMMYFUNCTION("""COMPUTED_VALUE"""),18)</f>
        <v>18</v>
      </c>
      <c r="AG3" s="108">
        <f ca="1">IFERROR(__xludf.DUMMYFUNCTION("""COMPUTED_VALUE"""),27)</f>
        <v>27</v>
      </c>
      <c r="AH3" s="108">
        <f ca="1">IFERROR(__xludf.DUMMYFUNCTION("""COMPUTED_VALUE"""),27)</f>
        <v>27</v>
      </c>
      <c r="AI3" s="108"/>
      <c r="AJ3" s="108"/>
      <c r="AK3" s="108"/>
      <c r="AL3" s="108"/>
      <c r="AM3" s="108">
        <f ca="1">IFERROR(__xludf.DUMMYFUNCTION("""COMPUTED_VALUE"""),7)</f>
        <v>7</v>
      </c>
      <c r="AN3" s="108">
        <f ca="1">IFERROR(__xludf.DUMMYFUNCTION("""COMPUTED_VALUE"""),7)</f>
        <v>7</v>
      </c>
      <c r="AO3" s="108"/>
      <c r="AP3" s="108"/>
      <c r="AQ3" s="108">
        <f ca="1">IFERROR(__xludf.DUMMYFUNCTION("""COMPUTED_VALUE"""),6)</f>
        <v>6</v>
      </c>
      <c r="AR3" s="108">
        <f ca="1">IFERROR(__xludf.DUMMYFUNCTION("""COMPUTED_VALUE"""),6)</f>
        <v>6</v>
      </c>
      <c r="AS3" s="108">
        <f ca="1">IFERROR(__xludf.DUMMYFUNCTION("""COMPUTED_VALUE"""),6)</f>
        <v>6</v>
      </c>
      <c r="AT3" s="108">
        <f ca="1">IFERROR(__xludf.DUMMYFUNCTION("""COMPUTED_VALUE"""),6)</f>
        <v>6</v>
      </c>
      <c r="AU3" s="108"/>
      <c r="AV3" s="108"/>
      <c r="AW3" s="108">
        <f ca="1">IFERROR(__xludf.DUMMYFUNCTION("""COMPUTED_VALUE"""),2)</f>
        <v>2</v>
      </c>
      <c r="AX3" s="108">
        <f ca="1">IFERROR(__xludf.DUMMYFUNCTION("""COMPUTED_VALUE"""),2)</f>
        <v>2</v>
      </c>
      <c r="AY3" s="108"/>
      <c r="AZ3" s="108"/>
      <c r="BA3" s="108">
        <f ca="1">IFERROR(__xludf.DUMMYFUNCTION("""COMPUTED_VALUE"""),106)</f>
        <v>106</v>
      </c>
      <c r="BB3" s="108">
        <f ca="1">IFERROR(__xludf.DUMMYFUNCTION("""COMPUTED_VALUE"""),101)</f>
        <v>101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</row>
    <row r="5" spans="1:67" ht="12.75">
      <c r="A5" s="638"/>
      <c r="B5" s="109" t="s">
        <v>21</v>
      </c>
      <c r="C5" s="110" t="s">
        <v>22</v>
      </c>
    </row>
    <row r="6" spans="1:67" ht="12.75">
      <c r="A6" s="111" t="s">
        <v>23</v>
      </c>
      <c r="B6" s="112"/>
      <c r="C6" s="11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</row>
    <row r="8" spans="1:67" ht="12.75">
      <c r="A8" s="114" t="s">
        <v>25</v>
      </c>
      <c r="B8" s="115"/>
      <c r="C8" s="116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</row>
    <row r="10" spans="1:67" ht="12.75">
      <c r="A10" s="114" t="s">
        <v>27</v>
      </c>
      <c r="B10" s="115">
        <f t="shared" ref="B10:C10" ca="1" si="2">SUM(M:M)</f>
        <v>12</v>
      </c>
      <c r="C10" s="116">
        <f t="shared" ca="1" si="2"/>
        <v>13</v>
      </c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0</v>
      </c>
      <c r="C12" s="116">
        <f t="shared" ca="1" si="3"/>
        <v>0</v>
      </c>
    </row>
    <row r="13" spans="1:67" ht="12.75">
      <c r="A13" s="114" t="s">
        <v>30</v>
      </c>
      <c r="B13" s="115">
        <f t="shared" ref="B13:C13" ca="1" si="4">SUM(Q:Q)</f>
        <v>10</v>
      </c>
      <c r="C13" s="116">
        <f t="shared" ca="1" si="4"/>
        <v>14</v>
      </c>
    </row>
    <row r="14" spans="1:67" ht="12.75">
      <c r="A14" s="114" t="s">
        <v>31</v>
      </c>
      <c r="B14" s="115">
        <f t="shared" ref="B14:C14" ca="1" si="5">SUM(S:S)</f>
        <v>7</v>
      </c>
      <c r="C14" s="116">
        <f t="shared" ca="1" si="5"/>
        <v>28</v>
      </c>
    </row>
    <row r="15" spans="1:67" ht="12.75">
      <c r="A15" s="117" t="s">
        <v>32</v>
      </c>
      <c r="B15" s="118">
        <f t="shared" ref="B15:C15" ca="1" si="6">SUM(B6:B14)</f>
        <v>29</v>
      </c>
      <c r="C15" s="119">
        <f t="shared" ca="1" si="6"/>
        <v>55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3</v>
      </c>
      <c r="C17" s="116">
        <f t="shared" ca="1" si="7"/>
        <v>3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0</v>
      </c>
      <c r="C20" s="116">
        <f t="shared" ca="1" si="10"/>
        <v>0</v>
      </c>
    </row>
    <row r="21" spans="1:3" ht="12.75">
      <c r="A21" s="114" t="s">
        <v>38</v>
      </c>
      <c r="B21" s="115">
        <f t="shared" ref="B21:C21" ca="1" si="11">SUM(AC:AC)</f>
        <v>18</v>
      </c>
      <c r="C21" s="116">
        <f t="shared" ca="1" si="11"/>
        <v>20</v>
      </c>
    </row>
    <row r="22" spans="1:3" ht="12.75">
      <c r="A22" s="114" t="s">
        <v>39</v>
      </c>
      <c r="B22" s="115">
        <f t="shared" ref="B22:C22" ca="1" si="12">SUM(AE:AE)</f>
        <v>18</v>
      </c>
      <c r="C22" s="116">
        <f t="shared" ca="1" si="12"/>
        <v>18</v>
      </c>
    </row>
    <row r="23" spans="1:3" ht="12.75">
      <c r="A23" s="114" t="s">
        <v>40</v>
      </c>
      <c r="B23" s="115">
        <f t="shared" ref="B23:C23" ca="1" si="13">SUM(AG:AG)</f>
        <v>27</v>
      </c>
      <c r="C23" s="116">
        <f t="shared" ca="1" si="13"/>
        <v>27</v>
      </c>
    </row>
    <row r="24" spans="1:3" ht="12.75">
      <c r="A24" s="117" t="s">
        <v>32</v>
      </c>
      <c r="B24" s="118">
        <f t="shared" ref="B24:C24" ca="1" si="14">SUM(B17:B23)</f>
        <v>66</v>
      </c>
      <c r="C24" s="119">
        <f t="shared" ca="1" si="14"/>
        <v>68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0</v>
      </c>
      <c r="C27" s="116">
        <f t="shared" ca="1" si="16"/>
        <v>0</v>
      </c>
    </row>
    <row r="28" spans="1:3" ht="12.75">
      <c r="A28" s="114" t="s">
        <v>44</v>
      </c>
      <c r="B28" s="115">
        <f t="shared" ref="B28:C28" ca="1" si="17">SUM(AM:AM)</f>
        <v>7</v>
      </c>
      <c r="C28" s="116">
        <f t="shared" ca="1" si="17"/>
        <v>7</v>
      </c>
    </row>
    <row r="29" spans="1:3" ht="12.75">
      <c r="A29" s="117" t="s">
        <v>32</v>
      </c>
      <c r="B29" s="118">
        <f t="shared" ref="B29:C29" ca="1" si="18">SUM(B26:B28)</f>
        <v>7</v>
      </c>
      <c r="C29" s="119">
        <f t="shared" ca="1" si="18"/>
        <v>7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6</v>
      </c>
      <c r="C32" s="116">
        <f t="shared" ca="1" si="20"/>
        <v>6</v>
      </c>
    </row>
    <row r="33" spans="1:67" ht="12.75">
      <c r="A33" s="114" t="s">
        <v>48</v>
      </c>
      <c r="B33" s="115">
        <f t="shared" ref="B33:C33" ca="1" si="21">SUM(AS:AS)</f>
        <v>6</v>
      </c>
      <c r="C33" s="116">
        <f t="shared" ca="1" si="21"/>
        <v>6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2</v>
      </c>
      <c r="C35" s="116">
        <f t="shared" ca="1" si="23"/>
        <v>2</v>
      </c>
    </row>
    <row r="36" spans="1:67" ht="12.75">
      <c r="A36" s="117" t="s">
        <v>32</v>
      </c>
      <c r="B36" s="118">
        <f t="shared" ref="B36:C36" ca="1" si="24">SUM(B31:B35)</f>
        <v>14</v>
      </c>
      <c r="C36" s="119">
        <f t="shared" ca="1" si="24"/>
        <v>14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106</v>
      </c>
      <c r="C38" s="124">
        <f t="shared" ca="1" si="26"/>
        <v>101</v>
      </c>
    </row>
    <row r="39" spans="1:67" ht="15">
      <c r="A39" s="126" t="s">
        <v>20</v>
      </c>
      <c r="B39" s="127">
        <f t="shared" ref="B39:C39" ca="1" si="27">SUM(B15,B24,B29,B36,B37,B38)</f>
        <v>222</v>
      </c>
      <c r="C39" s="128">
        <f t="shared" ca="1" si="27"/>
        <v>245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 t="s">
        <v>77</v>
      </c>
      <c r="C2" s="102" t="s">
        <v>72</v>
      </c>
      <c r="D2" s="103" t="str">
        <f ca="1">IFERROR(__xludf.DUMMYFUNCTION("QUERY('Form Responses 1'!A:BE,""select * where A&gt;= datetime '""&amp;TEXT(B3,""yyyy-mm-dd HH:mm:ss"")&amp;""' and A&lt;= datetime '""&amp;TEXT(B3+1,""yyyy-mm-dd HH:mm:ss"")&amp;""' and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4</v>
      </c>
      <c r="B3" s="129" t="e">
        <f>#REF!</f>
        <v>#REF!</v>
      </c>
      <c r="C3" s="131" t="e">
        <f>B3-1</f>
        <v>#REF!</v>
      </c>
      <c r="D3" s="130">
        <f ca="1">IFERROR(__xludf.DUMMYFUNCTION("""COMPUTED_VALUE"""),44470.3331610879)</f>
        <v>44470.333161087903</v>
      </c>
      <c r="E3" s="108" t="str">
        <f ca="1">IFERROR(__xludf.DUMMYFUNCTION("""COMPUTED_VALUE"""),"p2@rtp.com")</f>
        <v>p2@rtp.com</v>
      </c>
      <c r="F3" s="108" t="str">
        <f ca="1">IFERROR(__xludf.DUMMYFUNCTION("""COMPUTED_VALUE"""),"rtp2021")</f>
        <v>rtp2021</v>
      </c>
      <c r="G3" s="108"/>
      <c r="H3" s="108" t="str">
        <f ca="1">IFERROR(__xludf.DUMMYFUNCTION("""COMPUTED_VALUE"""),"ภ.2")</f>
        <v>ภ.2</v>
      </c>
      <c r="I3" s="108"/>
      <c r="J3" s="108"/>
      <c r="K3" s="108"/>
      <c r="L3" s="108"/>
      <c r="M3" s="108">
        <f ca="1">IFERROR(__xludf.DUMMYFUNCTION("""COMPUTED_VALUE"""),39)</f>
        <v>39</v>
      </c>
      <c r="N3" s="108">
        <f ca="1">IFERROR(__xludf.DUMMYFUNCTION("""COMPUTED_VALUE"""),39)</f>
        <v>39</v>
      </c>
      <c r="O3" s="108">
        <f ca="1">IFERROR(__xludf.DUMMYFUNCTION("""COMPUTED_VALUE"""),1)</f>
        <v>1</v>
      </c>
      <c r="P3" s="108">
        <f ca="1">IFERROR(__xludf.DUMMYFUNCTION("""COMPUTED_VALUE"""),5)</f>
        <v>5</v>
      </c>
      <c r="Q3" s="108">
        <f ca="1">IFERROR(__xludf.DUMMYFUNCTION("""COMPUTED_VALUE"""),5)</f>
        <v>5</v>
      </c>
      <c r="R3" s="108">
        <f ca="1">IFERROR(__xludf.DUMMYFUNCTION("""COMPUTED_VALUE"""),5)</f>
        <v>5</v>
      </c>
      <c r="S3" s="108">
        <f ca="1">IFERROR(__xludf.DUMMYFUNCTION("""COMPUTED_VALUE"""),15)</f>
        <v>15</v>
      </c>
      <c r="T3" s="108">
        <f ca="1">IFERROR(__xludf.DUMMYFUNCTION("""COMPUTED_VALUE"""),49)</f>
        <v>49</v>
      </c>
      <c r="U3" s="108">
        <f ca="1">IFERROR(__xludf.DUMMYFUNCTION("""COMPUTED_VALUE"""),6)</f>
        <v>6</v>
      </c>
      <c r="V3" s="108">
        <f ca="1">IFERROR(__xludf.DUMMYFUNCTION("""COMPUTED_VALUE"""),6)</f>
        <v>6</v>
      </c>
      <c r="W3" s="108"/>
      <c r="X3" s="108"/>
      <c r="Y3" s="108"/>
      <c r="Z3" s="108"/>
      <c r="AA3" s="108">
        <f ca="1">IFERROR(__xludf.DUMMYFUNCTION("""COMPUTED_VALUE"""),3)</f>
        <v>3</v>
      </c>
      <c r="AB3" s="108">
        <f ca="1">IFERROR(__xludf.DUMMYFUNCTION("""COMPUTED_VALUE"""),4)</f>
        <v>4</v>
      </c>
      <c r="AC3" s="108">
        <f ca="1">IFERROR(__xludf.DUMMYFUNCTION("""COMPUTED_VALUE"""),37)</f>
        <v>37</v>
      </c>
      <c r="AD3" s="108">
        <f ca="1">IFERROR(__xludf.DUMMYFUNCTION("""COMPUTED_VALUE"""),42)</f>
        <v>42</v>
      </c>
      <c r="AE3" s="108">
        <f ca="1">IFERROR(__xludf.DUMMYFUNCTION("""COMPUTED_VALUE"""),18)</f>
        <v>18</v>
      </c>
      <c r="AF3" s="108">
        <f ca="1">IFERROR(__xludf.DUMMYFUNCTION("""COMPUTED_VALUE"""),20)</f>
        <v>20</v>
      </c>
      <c r="AG3" s="108">
        <f ca="1">IFERROR(__xludf.DUMMYFUNCTION("""COMPUTED_VALUE"""),57)</f>
        <v>57</v>
      </c>
      <c r="AH3" s="108">
        <f ca="1">IFERROR(__xludf.DUMMYFUNCTION("""COMPUTED_VALUE"""),56)</f>
        <v>56</v>
      </c>
      <c r="AI3" s="108">
        <f ca="1">IFERROR(__xludf.DUMMYFUNCTION("""COMPUTED_VALUE"""),1)</f>
        <v>1</v>
      </c>
      <c r="AJ3" s="108">
        <f ca="1">IFERROR(__xludf.DUMMYFUNCTION("""COMPUTED_VALUE"""),1)</f>
        <v>1</v>
      </c>
      <c r="AK3" s="108"/>
      <c r="AL3" s="108"/>
      <c r="AM3" s="108">
        <f ca="1">IFERROR(__xludf.DUMMYFUNCTION("""COMPUTED_VALUE"""),35)</f>
        <v>35</v>
      </c>
      <c r="AN3" s="108">
        <f ca="1">IFERROR(__xludf.DUMMYFUNCTION("""COMPUTED_VALUE"""),35)</f>
        <v>35</v>
      </c>
      <c r="AO3" s="108"/>
      <c r="AP3" s="108"/>
      <c r="AQ3" s="108">
        <f ca="1">IFERROR(__xludf.DUMMYFUNCTION("""COMPUTED_VALUE"""),14)</f>
        <v>14</v>
      </c>
      <c r="AR3" s="108">
        <f ca="1">IFERROR(__xludf.DUMMYFUNCTION("""COMPUTED_VALUE"""),14)</f>
        <v>14</v>
      </c>
      <c r="AS3" s="108">
        <f ca="1">IFERROR(__xludf.DUMMYFUNCTION("""COMPUTED_VALUE"""),1)</f>
        <v>1</v>
      </c>
      <c r="AT3" s="108">
        <f ca="1">IFERROR(__xludf.DUMMYFUNCTION("""COMPUTED_VALUE"""),1)</f>
        <v>1</v>
      </c>
      <c r="AU3" s="108"/>
      <c r="AV3" s="108"/>
      <c r="AW3" s="108">
        <f ca="1">IFERROR(__xludf.DUMMYFUNCTION("""COMPUTED_VALUE"""),6)</f>
        <v>6</v>
      </c>
      <c r="AX3" s="108">
        <f ca="1">IFERROR(__xludf.DUMMYFUNCTION("""COMPUTED_VALUE"""),6)</f>
        <v>6</v>
      </c>
      <c r="AY3" s="108">
        <f ca="1">IFERROR(__xludf.DUMMYFUNCTION("""COMPUTED_VALUE"""),3)</f>
        <v>3</v>
      </c>
      <c r="AZ3" s="108">
        <f ca="1">IFERROR(__xludf.DUMMYFUNCTION("""COMPUTED_VALUE"""),3)</f>
        <v>3</v>
      </c>
      <c r="BA3" s="108">
        <f ca="1">IFERROR(__xludf.DUMMYFUNCTION("""COMPUTED_VALUE"""),84)</f>
        <v>84</v>
      </c>
      <c r="BB3" s="108">
        <f ca="1">IFERROR(__xludf.DUMMYFUNCTION("""COMPUTED_VALUE"""),84)</f>
        <v>84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</row>
    <row r="5" spans="1:67" ht="12.75">
      <c r="A5" s="638"/>
      <c r="B5" s="109" t="s">
        <v>21</v>
      </c>
      <c r="C5" s="110" t="s">
        <v>22</v>
      </c>
    </row>
    <row r="6" spans="1:67" ht="12.75">
      <c r="A6" s="111" t="s">
        <v>23</v>
      </c>
      <c r="B6" s="112"/>
      <c r="C6" s="11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</row>
    <row r="8" spans="1:67" ht="12.75">
      <c r="A8" s="114" t="s">
        <v>25</v>
      </c>
      <c r="B8" s="115"/>
      <c r="C8" s="116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</row>
    <row r="10" spans="1:67" ht="12.75">
      <c r="A10" s="114" t="s">
        <v>27</v>
      </c>
      <c r="B10" s="115">
        <f t="shared" ref="B10:C10" ca="1" si="2">SUM(M:M)</f>
        <v>39</v>
      </c>
      <c r="C10" s="116">
        <f t="shared" ca="1" si="2"/>
        <v>39</v>
      </c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1</v>
      </c>
      <c r="C12" s="116">
        <f t="shared" ca="1" si="3"/>
        <v>5</v>
      </c>
    </row>
    <row r="13" spans="1:67" ht="12.75">
      <c r="A13" s="114" t="s">
        <v>30</v>
      </c>
      <c r="B13" s="115">
        <f t="shared" ref="B13:C13" ca="1" si="4">SUM(Q:Q)</f>
        <v>5</v>
      </c>
      <c r="C13" s="116">
        <f t="shared" ca="1" si="4"/>
        <v>5</v>
      </c>
    </row>
    <row r="14" spans="1:67" ht="12.75">
      <c r="A14" s="114" t="s">
        <v>31</v>
      </c>
      <c r="B14" s="115">
        <f t="shared" ref="B14:C14" ca="1" si="5">SUM(S:S)</f>
        <v>15</v>
      </c>
      <c r="C14" s="116">
        <f t="shared" ca="1" si="5"/>
        <v>49</v>
      </c>
    </row>
    <row r="15" spans="1:67" ht="12.75">
      <c r="A15" s="117" t="s">
        <v>32</v>
      </c>
      <c r="B15" s="118">
        <f t="shared" ref="B15:C15" ca="1" si="6">SUM(B6:B14)</f>
        <v>60</v>
      </c>
      <c r="C15" s="119">
        <f t="shared" ca="1" si="6"/>
        <v>98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6</v>
      </c>
      <c r="C17" s="116">
        <f t="shared" ca="1" si="7"/>
        <v>6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3</v>
      </c>
      <c r="C20" s="116">
        <f t="shared" ca="1" si="10"/>
        <v>4</v>
      </c>
    </row>
    <row r="21" spans="1:3" ht="12.75">
      <c r="A21" s="114" t="s">
        <v>38</v>
      </c>
      <c r="B21" s="115">
        <f t="shared" ref="B21:C21" ca="1" si="11">SUM(AC:AC)</f>
        <v>37</v>
      </c>
      <c r="C21" s="116">
        <f t="shared" ca="1" si="11"/>
        <v>42</v>
      </c>
    </row>
    <row r="22" spans="1:3" ht="12.75">
      <c r="A22" s="114" t="s">
        <v>39</v>
      </c>
      <c r="B22" s="115">
        <f t="shared" ref="B22:C22" ca="1" si="12">SUM(AE:AE)</f>
        <v>18</v>
      </c>
      <c r="C22" s="116">
        <f t="shared" ca="1" si="12"/>
        <v>20</v>
      </c>
    </row>
    <row r="23" spans="1:3" ht="12.75">
      <c r="A23" s="114" t="s">
        <v>40</v>
      </c>
      <c r="B23" s="115">
        <f t="shared" ref="B23:C23" ca="1" si="13">SUM(AG:AG)</f>
        <v>57</v>
      </c>
      <c r="C23" s="116">
        <f t="shared" ca="1" si="13"/>
        <v>56</v>
      </c>
    </row>
    <row r="24" spans="1:3" ht="12.75">
      <c r="A24" s="117" t="s">
        <v>32</v>
      </c>
      <c r="B24" s="118">
        <f t="shared" ref="B24:C24" ca="1" si="14">SUM(B17:B23)</f>
        <v>121</v>
      </c>
      <c r="C24" s="119">
        <f t="shared" ca="1" si="14"/>
        <v>128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1</v>
      </c>
      <c r="C26" s="116">
        <f t="shared" ca="1" si="15"/>
        <v>1</v>
      </c>
    </row>
    <row r="27" spans="1:3" ht="12.75">
      <c r="A27" s="114" t="s">
        <v>43</v>
      </c>
      <c r="B27" s="115">
        <f t="shared" ref="B27:C27" ca="1" si="16">SUM(AK:AK)</f>
        <v>0</v>
      </c>
      <c r="C27" s="116">
        <f t="shared" ca="1" si="16"/>
        <v>0</v>
      </c>
    </row>
    <row r="28" spans="1:3" ht="12.75">
      <c r="A28" s="114" t="s">
        <v>44</v>
      </c>
      <c r="B28" s="115">
        <f t="shared" ref="B28:C28" ca="1" si="17">SUM(AM:AM)</f>
        <v>35</v>
      </c>
      <c r="C28" s="116">
        <f t="shared" ca="1" si="17"/>
        <v>35</v>
      </c>
    </row>
    <row r="29" spans="1:3" ht="12.75">
      <c r="A29" s="117" t="s">
        <v>32</v>
      </c>
      <c r="B29" s="118">
        <f t="shared" ref="B29:C29" ca="1" si="18">SUM(B26:B28)</f>
        <v>36</v>
      </c>
      <c r="C29" s="119">
        <f t="shared" ca="1" si="18"/>
        <v>36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14</v>
      </c>
      <c r="C32" s="116">
        <f t="shared" ca="1" si="20"/>
        <v>14</v>
      </c>
    </row>
    <row r="33" spans="1:67" ht="12.75">
      <c r="A33" s="114" t="s">
        <v>48</v>
      </c>
      <c r="B33" s="115">
        <f t="shared" ref="B33:C33" ca="1" si="21">SUM(AS:AS)</f>
        <v>1</v>
      </c>
      <c r="C33" s="116">
        <f t="shared" ca="1" si="21"/>
        <v>1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6</v>
      </c>
      <c r="C35" s="116">
        <f t="shared" ca="1" si="23"/>
        <v>6</v>
      </c>
    </row>
    <row r="36" spans="1:67" ht="12.75">
      <c r="A36" s="117" t="s">
        <v>32</v>
      </c>
      <c r="B36" s="118">
        <f t="shared" ref="B36:C36" ca="1" si="24">SUM(B31:B35)</f>
        <v>21</v>
      </c>
      <c r="C36" s="119">
        <f t="shared" ca="1" si="24"/>
        <v>21</v>
      </c>
    </row>
    <row r="37" spans="1:67" ht="12.75">
      <c r="A37" s="122" t="s">
        <v>51</v>
      </c>
      <c r="B37" s="123">
        <f t="shared" ref="B37:C37" ca="1" si="25">SUM(AY:AY)</f>
        <v>3</v>
      </c>
      <c r="C37" s="124">
        <f t="shared" ca="1" si="25"/>
        <v>3</v>
      </c>
    </row>
    <row r="38" spans="1:67" ht="12.75">
      <c r="A38" s="125" t="s">
        <v>52</v>
      </c>
      <c r="B38" s="123">
        <f t="shared" ref="B38:C38" ca="1" si="26">SUM(BA:BA)</f>
        <v>84</v>
      </c>
      <c r="C38" s="124">
        <f t="shared" ca="1" si="26"/>
        <v>84</v>
      </c>
    </row>
    <row r="39" spans="1:67" ht="15">
      <c r="A39" s="126" t="s">
        <v>20</v>
      </c>
      <c r="B39" s="127">
        <f t="shared" ref="B39:C39" ca="1" si="27">SUM(B15,B24,B29,B36,B37,B38)</f>
        <v>325</v>
      </c>
      <c r="C39" s="128">
        <f t="shared" ca="1" si="27"/>
        <v>370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 t="s">
        <v>77</v>
      </c>
      <c r="C2" s="102" t="s">
        <v>72</v>
      </c>
      <c r="D2" s="103" t="str">
        <f ca="1">IFERROR(__xludf.DUMMYFUNCTION("QUERY('Form Responses 1'!A:BE,""select * where A&gt;= datetime '""&amp;TEXT(B3,""yyyy-mm-dd HH:mm:ss"")&amp;""' and A&lt;= datetime '""&amp;TEXT(B3+1,""yyyy-mm-dd HH:mm:ss"")&amp;""' and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2</v>
      </c>
      <c r="B3" s="141" t="e">
        <f>#REF!</f>
        <v>#REF!</v>
      </c>
      <c r="C3" s="131" t="e">
        <f>B3-1</f>
        <v>#REF!</v>
      </c>
      <c r="D3" s="130">
        <f ca="1">IFERROR(__xludf.DUMMYFUNCTION("""COMPUTED_VALUE"""),44470.2965646875)</f>
        <v>44470.296564687502</v>
      </c>
      <c r="E3" s="108" t="str">
        <f ca="1">IFERROR(__xludf.DUMMYFUNCTION("""COMPUTED_VALUE"""),"p3@rtp.com")</f>
        <v>p3@rtp.com</v>
      </c>
      <c r="F3" s="108" t="str">
        <f ca="1">IFERROR(__xludf.DUMMYFUNCTION("""COMPUTED_VALUE"""),"rtp2021")</f>
        <v>rtp2021</v>
      </c>
      <c r="G3" s="108"/>
      <c r="H3" s="108" t="str">
        <f ca="1">IFERROR(__xludf.DUMMYFUNCTION("""COMPUTED_VALUE"""),"ภ.3")</f>
        <v>ภ.3</v>
      </c>
      <c r="I3" s="108">
        <f ca="1">IFERROR(__xludf.DUMMYFUNCTION("""COMPUTED_VALUE"""),0)</f>
        <v>0</v>
      </c>
      <c r="J3" s="108">
        <f ca="1">IFERROR(__xludf.DUMMYFUNCTION("""COMPUTED_VALUE"""),0)</f>
        <v>0</v>
      </c>
      <c r="K3" s="108">
        <f ca="1">IFERROR(__xludf.DUMMYFUNCTION("""COMPUTED_VALUE"""),0)</f>
        <v>0</v>
      </c>
      <c r="L3" s="108">
        <f ca="1">IFERROR(__xludf.DUMMYFUNCTION("""COMPUTED_VALUE"""),0)</f>
        <v>0</v>
      </c>
      <c r="M3" s="108">
        <f ca="1">IFERROR(__xludf.DUMMYFUNCTION("""COMPUTED_VALUE"""),2)</f>
        <v>2</v>
      </c>
      <c r="N3" s="108">
        <f ca="1">IFERROR(__xludf.DUMMYFUNCTION("""COMPUTED_VALUE"""),2)</f>
        <v>2</v>
      </c>
      <c r="O3" s="108">
        <f ca="1">IFERROR(__xludf.DUMMYFUNCTION("""COMPUTED_VALUE"""),0)</f>
        <v>0</v>
      </c>
      <c r="P3" s="108">
        <f ca="1">IFERROR(__xludf.DUMMYFUNCTION("""COMPUTED_VALUE"""),0)</f>
        <v>0</v>
      </c>
      <c r="Q3" s="108">
        <f ca="1">IFERROR(__xludf.DUMMYFUNCTION("""COMPUTED_VALUE"""),0)</f>
        <v>0</v>
      </c>
      <c r="R3" s="108">
        <f ca="1">IFERROR(__xludf.DUMMYFUNCTION("""COMPUTED_VALUE"""),0)</f>
        <v>0</v>
      </c>
      <c r="S3" s="108">
        <f ca="1">IFERROR(__xludf.DUMMYFUNCTION("""COMPUTED_VALUE"""),58)</f>
        <v>58</v>
      </c>
      <c r="T3" s="108">
        <f ca="1">IFERROR(__xludf.DUMMYFUNCTION("""COMPUTED_VALUE"""),67)</f>
        <v>67</v>
      </c>
      <c r="U3" s="108">
        <f ca="1">IFERROR(__xludf.DUMMYFUNCTION("""COMPUTED_VALUE"""),3)</f>
        <v>3</v>
      </c>
      <c r="V3" s="108">
        <f ca="1">IFERROR(__xludf.DUMMYFUNCTION("""COMPUTED_VALUE"""),3)</f>
        <v>3</v>
      </c>
      <c r="W3" s="108">
        <f ca="1">IFERROR(__xludf.DUMMYFUNCTION("""COMPUTED_VALUE"""),0)</f>
        <v>0</v>
      </c>
      <c r="X3" s="108">
        <f ca="1">IFERROR(__xludf.DUMMYFUNCTION("""COMPUTED_VALUE"""),0)</f>
        <v>0</v>
      </c>
      <c r="Y3" s="108">
        <f ca="1">IFERROR(__xludf.DUMMYFUNCTION("""COMPUTED_VALUE"""),0)</f>
        <v>0</v>
      </c>
      <c r="Z3" s="108">
        <f ca="1">IFERROR(__xludf.DUMMYFUNCTION("""COMPUTED_VALUE"""),0)</f>
        <v>0</v>
      </c>
      <c r="AA3" s="108">
        <f ca="1">IFERROR(__xludf.DUMMYFUNCTION("""COMPUTED_VALUE"""),4)</f>
        <v>4</v>
      </c>
      <c r="AB3" s="108">
        <f ca="1">IFERROR(__xludf.DUMMYFUNCTION("""COMPUTED_VALUE"""),4)</f>
        <v>4</v>
      </c>
      <c r="AC3" s="108">
        <f ca="1">IFERROR(__xludf.DUMMYFUNCTION("""COMPUTED_VALUE"""),13)</f>
        <v>13</v>
      </c>
      <c r="AD3" s="108">
        <f ca="1">IFERROR(__xludf.DUMMYFUNCTION("""COMPUTED_VALUE"""),18)</f>
        <v>18</v>
      </c>
      <c r="AE3" s="108">
        <f ca="1">IFERROR(__xludf.DUMMYFUNCTION("""COMPUTED_VALUE"""),8)</f>
        <v>8</v>
      </c>
      <c r="AF3" s="108">
        <f ca="1">IFERROR(__xludf.DUMMYFUNCTION("""COMPUTED_VALUE"""),8)</f>
        <v>8</v>
      </c>
      <c r="AG3" s="108">
        <f ca="1">IFERROR(__xludf.DUMMYFUNCTION("""COMPUTED_VALUE"""),54)</f>
        <v>54</v>
      </c>
      <c r="AH3" s="108">
        <f ca="1">IFERROR(__xludf.DUMMYFUNCTION("""COMPUTED_VALUE"""),54)</f>
        <v>54</v>
      </c>
      <c r="AI3" s="108">
        <f ca="1">IFERROR(__xludf.DUMMYFUNCTION("""COMPUTED_VALUE"""),0)</f>
        <v>0</v>
      </c>
      <c r="AJ3" s="108">
        <f ca="1">IFERROR(__xludf.DUMMYFUNCTION("""COMPUTED_VALUE"""),0)</f>
        <v>0</v>
      </c>
      <c r="AK3" s="108">
        <f ca="1">IFERROR(__xludf.DUMMYFUNCTION("""COMPUTED_VALUE"""),0)</f>
        <v>0</v>
      </c>
      <c r="AL3" s="108">
        <f ca="1">IFERROR(__xludf.DUMMYFUNCTION("""COMPUTED_VALUE"""),0)</f>
        <v>0</v>
      </c>
      <c r="AM3" s="108">
        <f ca="1">IFERROR(__xludf.DUMMYFUNCTION("""COMPUTED_VALUE"""),0)</f>
        <v>0</v>
      </c>
      <c r="AN3" s="108">
        <f ca="1">IFERROR(__xludf.DUMMYFUNCTION("""COMPUTED_VALUE"""),0)</f>
        <v>0</v>
      </c>
      <c r="AO3" s="108">
        <f ca="1">IFERROR(__xludf.DUMMYFUNCTION("""COMPUTED_VALUE"""),0)</f>
        <v>0</v>
      </c>
      <c r="AP3" s="108">
        <f ca="1">IFERROR(__xludf.DUMMYFUNCTION("""COMPUTED_VALUE"""),0)</f>
        <v>0</v>
      </c>
      <c r="AQ3" s="108">
        <f ca="1">IFERROR(__xludf.DUMMYFUNCTION("""COMPUTED_VALUE"""),8)</f>
        <v>8</v>
      </c>
      <c r="AR3" s="108">
        <f ca="1">IFERROR(__xludf.DUMMYFUNCTION("""COMPUTED_VALUE"""),8)</f>
        <v>8</v>
      </c>
      <c r="AS3" s="108">
        <f ca="1">IFERROR(__xludf.DUMMYFUNCTION("""COMPUTED_VALUE"""),0)</f>
        <v>0</v>
      </c>
      <c r="AT3" s="108">
        <f ca="1">IFERROR(__xludf.DUMMYFUNCTION("""COMPUTED_VALUE"""),0)</f>
        <v>0</v>
      </c>
      <c r="AU3" s="108">
        <f ca="1">IFERROR(__xludf.DUMMYFUNCTION("""COMPUTED_VALUE"""),0)</f>
        <v>0</v>
      </c>
      <c r="AV3" s="108">
        <f ca="1">IFERROR(__xludf.DUMMYFUNCTION("""COMPUTED_VALUE"""),0)</f>
        <v>0</v>
      </c>
      <c r="AW3" s="108">
        <f ca="1">IFERROR(__xludf.DUMMYFUNCTION("""COMPUTED_VALUE"""),3)</f>
        <v>3</v>
      </c>
      <c r="AX3" s="108">
        <f ca="1">IFERROR(__xludf.DUMMYFUNCTION("""COMPUTED_VALUE"""),3)</f>
        <v>3</v>
      </c>
      <c r="AY3" s="108">
        <f ca="1">IFERROR(__xludf.DUMMYFUNCTION("""COMPUTED_VALUE"""),0)</f>
        <v>0</v>
      </c>
      <c r="AZ3" s="108">
        <f ca="1">IFERROR(__xludf.DUMMYFUNCTION("""COMPUTED_VALUE"""),0)</f>
        <v>0</v>
      </c>
      <c r="BA3" s="108">
        <f ca="1">IFERROR(__xludf.DUMMYFUNCTION("""COMPUTED_VALUE"""),54)</f>
        <v>54</v>
      </c>
      <c r="BB3" s="108">
        <f ca="1">IFERROR(__xludf.DUMMYFUNCTION("""COMPUTED_VALUE"""),53)</f>
        <v>53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</row>
    <row r="5" spans="1:67" ht="12.75">
      <c r="A5" s="638"/>
      <c r="B5" s="109" t="s">
        <v>21</v>
      </c>
      <c r="C5" s="110" t="s">
        <v>22</v>
      </c>
    </row>
    <row r="6" spans="1:67" ht="12.75">
      <c r="A6" s="111" t="s">
        <v>23</v>
      </c>
      <c r="B6" s="112"/>
      <c r="C6" s="11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</row>
    <row r="8" spans="1:67" ht="12.75">
      <c r="A8" s="114" t="s">
        <v>25</v>
      </c>
      <c r="B8" s="115"/>
      <c r="C8" s="116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</row>
    <row r="10" spans="1:67" ht="12.75">
      <c r="A10" s="114" t="s">
        <v>27</v>
      </c>
      <c r="B10" s="115">
        <f t="shared" ref="B10:C10" ca="1" si="2">SUM(M:M)</f>
        <v>2</v>
      </c>
      <c r="C10" s="116">
        <f t="shared" ca="1" si="2"/>
        <v>2</v>
      </c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0</v>
      </c>
      <c r="C12" s="116">
        <f t="shared" ca="1" si="3"/>
        <v>0</v>
      </c>
    </row>
    <row r="13" spans="1:67" ht="12.75">
      <c r="A13" s="114" t="s">
        <v>30</v>
      </c>
      <c r="B13" s="115">
        <f t="shared" ref="B13:C13" ca="1" si="4">SUM(Q:Q)</f>
        <v>0</v>
      </c>
      <c r="C13" s="116">
        <f t="shared" ca="1" si="4"/>
        <v>0</v>
      </c>
    </row>
    <row r="14" spans="1:67" ht="12.75">
      <c r="A14" s="114" t="s">
        <v>31</v>
      </c>
      <c r="B14" s="115">
        <f t="shared" ref="B14:C14" ca="1" si="5">SUM(S:S)</f>
        <v>58</v>
      </c>
      <c r="C14" s="116">
        <f t="shared" ca="1" si="5"/>
        <v>67</v>
      </c>
    </row>
    <row r="15" spans="1:67" ht="12.75">
      <c r="A15" s="117" t="s">
        <v>32</v>
      </c>
      <c r="B15" s="118">
        <f t="shared" ref="B15:C15" ca="1" si="6">SUM(B6:B14)</f>
        <v>60</v>
      </c>
      <c r="C15" s="119">
        <f t="shared" ca="1" si="6"/>
        <v>69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3</v>
      </c>
      <c r="C17" s="116">
        <f t="shared" ca="1" si="7"/>
        <v>3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4</v>
      </c>
      <c r="C20" s="116">
        <f t="shared" ca="1" si="10"/>
        <v>4</v>
      </c>
    </row>
    <row r="21" spans="1:3" ht="12.75">
      <c r="A21" s="114" t="s">
        <v>38</v>
      </c>
      <c r="B21" s="115">
        <f t="shared" ref="B21:C21" ca="1" si="11">SUM(AC:AC)</f>
        <v>13</v>
      </c>
      <c r="C21" s="116">
        <f t="shared" ca="1" si="11"/>
        <v>18</v>
      </c>
    </row>
    <row r="22" spans="1:3" ht="12.75">
      <c r="A22" s="114" t="s">
        <v>39</v>
      </c>
      <c r="B22" s="115">
        <f t="shared" ref="B22:C22" ca="1" si="12">SUM(AE:AE)</f>
        <v>8</v>
      </c>
      <c r="C22" s="116">
        <f t="shared" ca="1" si="12"/>
        <v>8</v>
      </c>
    </row>
    <row r="23" spans="1:3" ht="12.75">
      <c r="A23" s="114" t="s">
        <v>40</v>
      </c>
      <c r="B23" s="115">
        <f t="shared" ref="B23:C23" ca="1" si="13">SUM(AG:AG)</f>
        <v>54</v>
      </c>
      <c r="C23" s="116">
        <f t="shared" ca="1" si="13"/>
        <v>54</v>
      </c>
    </row>
    <row r="24" spans="1:3" ht="12.75">
      <c r="A24" s="117" t="s">
        <v>32</v>
      </c>
      <c r="B24" s="118">
        <f t="shared" ref="B24:C24" ca="1" si="14">SUM(B17:B23)</f>
        <v>82</v>
      </c>
      <c r="C24" s="119">
        <f t="shared" ca="1" si="14"/>
        <v>87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0</v>
      </c>
      <c r="C27" s="116">
        <f t="shared" ca="1" si="16"/>
        <v>0</v>
      </c>
    </row>
    <row r="28" spans="1:3" ht="12.75">
      <c r="A28" s="114" t="s">
        <v>44</v>
      </c>
      <c r="B28" s="115">
        <f t="shared" ref="B28:C28" ca="1" si="17">SUM(AM:AM)</f>
        <v>0</v>
      </c>
      <c r="C28" s="116">
        <f t="shared" ca="1" si="17"/>
        <v>0</v>
      </c>
    </row>
    <row r="29" spans="1:3" ht="12.75">
      <c r="A29" s="117" t="s">
        <v>32</v>
      </c>
      <c r="B29" s="118">
        <f t="shared" ref="B29:C29" ca="1" si="18">SUM(B26:B28)</f>
        <v>0</v>
      </c>
      <c r="C29" s="119">
        <f t="shared" ca="1" si="18"/>
        <v>0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8</v>
      </c>
      <c r="C32" s="116">
        <f t="shared" ca="1" si="20"/>
        <v>8</v>
      </c>
    </row>
    <row r="33" spans="1:67" ht="12.75">
      <c r="A33" s="114" t="s">
        <v>48</v>
      </c>
      <c r="B33" s="115">
        <f t="shared" ref="B33:C33" ca="1" si="21">SUM(AS:AS)</f>
        <v>0</v>
      </c>
      <c r="C33" s="116">
        <f t="shared" ca="1" si="21"/>
        <v>0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3</v>
      </c>
      <c r="C35" s="116">
        <f t="shared" ca="1" si="23"/>
        <v>3</v>
      </c>
    </row>
    <row r="36" spans="1:67" ht="12.75">
      <c r="A36" s="117" t="s">
        <v>32</v>
      </c>
      <c r="B36" s="118">
        <f t="shared" ref="B36:C36" ca="1" si="24">SUM(B31:B35)</f>
        <v>11</v>
      </c>
      <c r="C36" s="119">
        <f t="shared" ca="1" si="24"/>
        <v>11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54</v>
      </c>
      <c r="C38" s="124">
        <f t="shared" ca="1" si="26"/>
        <v>53</v>
      </c>
    </row>
    <row r="39" spans="1:67" ht="15">
      <c r="A39" s="126" t="s">
        <v>20</v>
      </c>
      <c r="B39" s="127">
        <f t="shared" ref="B39:C39" ca="1" si="27">SUM(B15,B24,B29,B36,B37,B38)</f>
        <v>207</v>
      </c>
      <c r="C39" s="128">
        <f t="shared" ca="1" si="27"/>
        <v>220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 t="s">
        <v>77</v>
      </c>
      <c r="C2" s="102" t="s">
        <v>72</v>
      </c>
      <c r="D2" s="103" t="str">
        <f ca="1">IFERROR(__xludf.DUMMYFUNCTION("QUERY('Form Responses 1'!A:BE,""select * where A&gt;= datetime '""&amp;TEXT(B3,""yyyy-mm-dd HH:mm:ss"")&amp;""' and A&lt;= datetime '""&amp;TEXT(B3+1,""yyyy-mm-dd HH:mm:ss"")&amp;""' and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0</v>
      </c>
      <c r="B3" s="129" t="e">
        <f>#REF!</f>
        <v>#REF!</v>
      </c>
      <c r="C3" s="131" t="e">
        <f>B3-1</f>
        <v>#REF!</v>
      </c>
      <c r="D3" s="130">
        <f ca="1">IFERROR(__xludf.DUMMYFUNCTION("""COMPUTED_VALUE"""),44470.3187081365)</f>
        <v>44470.318708136503</v>
      </c>
      <c r="E3" s="108" t="str">
        <f ca="1">IFERROR(__xludf.DUMMYFUNCTION("""COMPUTED_VALUE"""),"p4@rtp.com")</f>
        <v>p4@rtp.com</v>
      </c>
      <c r="F3" s="108" t="str">
        <f ca="1">IFERROR(__xludf.DUMMYFUNCTION("""COMPUTED_VALUE"""),"rtp2021")</f>
        <v>rtp2021</v>
      </c>
      <c r="G3" s="108"/>
      <c r="H3" s="108" t="str">
        <f ca="1">IFERROR(__xludf.DUMMYFUNCTION("""COMPUTED_VALUE"""),"ภ.4")</f>
        <v>ภ.4</v>
      </c>
      <c r="I3" s="108">
        <f ca="1">IFERROR(__xludf.DUMMYFUNCTION("""COMPUTED_VALUE"""),0)</f>
        <v>0</v>
      </c>
      <c r="J3" s="108">
        <f ca="1">IFERROR(__xludf.DUMMYFUNCTION("""COMPUTED_VALUE"""),0)</f>
        <v>0</v>
      </c>
      <c r="K3" s="108">
        <f ca="1">IFERROR(__xludf.DUMMYFUNCTION("""COMPUTED_VALUE"""),4)</f>
        <v>4</v>
      </c>
      <c r="L3" s="108">
        <f ca="1">IFERROR(__xludf.DUMMYFUNCTION("""COMPUTED_VALUE"""),4)</f>
        <v>4</v>
      </c>
      <c r="M3" s="108">
        <f ca="1">IFERROR(__xludf.DUMMYFUNCTION("""COMPUTED_VALUE"""),13)</f>
        <v>13</v>
      </c>
      <c r="N3" s="108">
        <f ca="1">IFERROR(__xludf.DUMMYFUNCTION("""COMPUTED_VALUE"""),13)</f>
        <v>13</v>
      </c>
      <c r="O3" s="108">
        <f ca="1">IFERROR(__xludf.DUMMYFUNCTION("""COMPUTED_VALUE"""),0)</f>
        <v>0</v>
      </c>
      <c r="P3" s="108">
        <f ca="1">IFERROR(__xludf.DUMMYFUNCTION("""COMPUTED_VALUE"""),0)</f>
        <v>0</v>
      </c>
      <c r="Q3" s="108">
        <f ca="1">IFERROR(__xludf.DUMMYFUNCTION("""COMPUTED_VALUE"""),1)</f>
        <v>1</v>
      </c>
      <c r="R3" s="108">
        <f ca="1">IFERROR(__xludf.DUMMYFUNCTION("""COMPUTED_VALUE"""),1)</f>
        <v>1</v>
      </c>
      <c r="S3" s="108">
        <f ca="1">IFERROR(__xludf.DUMMYFUNCTION("""COMPUTED_VALUE"""),141)</f>
        <v>141</v>
      </c>
      <c r="T3" s="108">
        <f ca="1">IFERROR(__xludf.DUMMYFUNCTION("""COMPUTED_VALUE"""),151)</f>
        <v>151</v>
      </c>
      <c r="U3" s="108">
        <f ca="1">IFERROR(__xludf.DUMMYFUNCTION("""COMPUTED_VALUE"""),34)</f>
        <v>34</v>
      </c>
      <c r="V3" s="108">
        <f ca="1">IFERROR(__xludf.DUMMYFUNCTION("""COMPUTED_VALUE"""),33)</f>
        <v>33</v>
      </c>
      <c r="W3" s="108">
        <f ca="1">IFERROR(__xludf.DUMMYFUNCTION("""COMPUTED_VALUE"""),0)</f>
        <v>0</v>
      </c>
      <c r="X3" s="108">
        <f ca="1">IFERROR(__xludf.DUMMYFUNCTION("""COMPUTED_VALUE"""),0)</f>
        <v>0</v>
      </c>
      <c r="Y3" s="108">
        <f ca="1">IFERROR(__xludf.DUMMYFUNCTION("""COMPUTED_VALUE"""),0)</f>
        <v>0</v>
      </c>
      <c r="Z3" s="108">
        <f ca="1">IFERROR(__xludf.DUMMYFUNCTION("""COMPUTED_VALUE"""),0)</f>
        <v>0</v>
      </c>
      <c r="AA3" s="108">
        <f ca="1">IFERROR(__xludf.DUMMYFUNCTION("""COMPUTED_VALUE"""),0)</f>
        <v>0</v>
      </c>
      <c r="AB3" s="108">
        <f ca="1">IFERROR(__xludf.DUMMYFUNCTION("""COMPUTED_VALUE"""),0)</f>
        <v>0</v>
      </c>
      <c r="AC3" s="108">
        <f ca="1">IFERROR(__xludf.DUMMYFUNCTION("""COMPUTED_VALUE"""),50)</f>
        <v>50</v>
      </c>
      <c r="AD3" s="108">
        <f ca="1">IFERROR(__xludf.DUMMYFUNCTION("""COMPUTED_VALUE"""),55)</f>
        <v>55</v>
      </c>
      <c r="AE3" s="108">
        <f ca="1">IFERROR(__xludf.DUMMYFUNCTION("""COMPUTED_VALUE"""),107)</f>
        <v>107</v>
      </c>
      <c r="AF3" s="108">
        <f ca="1">IFERROR(__xludf.DUMMYFUNCTION("""COMPUTED_VALUE"""),107)</f>
        <v>107</v>
      </c>
      <c r="AG3" s="108">
        <f ca="1">IFERROR(__xludf.DUMMYFUNCTION("""COMPUTED_VALUE"""),323)</f>
        <v>323</v>
      </c>
      <c r="AH3" s="108">
        <f ca="1">IFERROR(__xludf.DUMMYFUNCTION("""COMPUTED_VALUE"""),322)</f>
        <v>322</v>
      </c>
      <c r="AI3" s="108">
        <f ca="1">IFERROR(__xludf.DUMMYFUNCTION("""COMPUTED_VALUE"""),0)</f>
        <v>0</v>
      </c>
      <c r="AJ3" s="108">
        <f ca="1">IFERROR(__xludf.DUMMYFUNCTION("""COMPUTED_VALUE"""),0)</f>
        <v>0</v>
      </c>
      <c r="AK3" s="108">
        <f ca="1">IFERROR(__xludf.DUMMYFUNCTION("""COMPUTED_VALUE"""),0)</f>
        <v>0</v>
      </c>
      <c r="AL3" s="108">
        <f ca="1">IFERROR(__xludf.DUMMYFUNCTION("""COMPUTED_VALUE"""),0)</f>
        <v>0</v>
      </c>
      <c r="AM3" s="108">
        <f ca="1">IFERROR(__xludf.DUMMYFUNCTION("""COMPUTED_VALUE"""),17)</f>
        <v>17</v>
      </c>
      <c r="AN3" s="108">
        <f ca="1">IFERROR(__xludf.DUMMYFUNCTION("""COMPUTED_VALUE"""),17)</f>
        <v>17</v>
      </c>
      <c r="AO3" s="108">
        <f ca="1">IFERROR(__xludf.DUMMYFUNCTION("""COMPUTED_VALUE"""),0)</f>
        <v>0</v>
      </c>
      <c r="AP3" s="108">
        <f ca="1">IFERROR(__xludf.DUMMYFUNCTION("""COMPUTED_VALUE"""),0)</f>
        <v>0</v>
      </c>
      <c r="AQ3" s="108">
        <f ca="1">IFERROR(__xludf.DUMMYFUNCTION("""COMPUTED_VALUE"""),32)</f>
        <v>32</v>
      </c>
      <c r="AR3" s="108">
        <f ca="1">IFERROR(__xludf.DUMMYFUNCTION("""COMPUTED_VALUE"""),30)</f>
        <v>30</v>
      </c>
      <c r="AS3" s="108">
        <f ca="1">IFERROR(__xludf.DUMMYFUNCTION("""COMPUTED_VALUE"""),1)</f>
        <v>1</v>
      </c>
      <c r="AT3" s="108">
        <f ca="1">IFERROR(__xludf.DUMMYFUNCTION("""COMPUTED_VALUE"""),1)</f>
        <v>1</v>
      </c>
      <c r="AU3" s="108">
        <f ca="1">IFERROR(__xludf.DUMMYFUNCTION("""COMPUTED_VALUE"""),0)</f>
        <v>0</v>
      </c>
      <c r="AV3" s="108">
        <f ca="1">IFERROR(__xludf.DUMMYFUNCTION("""COMPUTED_VALUE"""),0)</f>
        <v>0</v>
      </c>
      <c r="AW3" s="108">
        <f ca="1">IFERROR(__xludf.DUMMYFUNCTION("""COMPUTED_VALUE"""),5)</f>
        <v>5</v>
      </c>
      <c r="AX3" s="108">
        <f ca="1">IFERROR(__xludf.DUMMYFUNCTION("""COMPUTED_VALUE"""),5)</f>
        <v>5</v>
      </c>
      <c r="AY3" s="108">
        <f ca="1">IFERROR(__xludf.DUMMYFUNCTION("""COMPUTED_VALUE"""),0)</f>
        <v>0</v>
      </c>
      <c r="AZ3" s="108">
        <f ca="1">IFERROR(__xludf.DUMMYFUNCTION("""COMPUTED_VALUE"""),0)</f>
        <v>0</v>
      </c>
      <c r="BA3" s="108">
        <f ca="1">IFERROR(__xludf.DUMMYFUNCTION("""COMPUTED_VALUE"""),73)</f>
        <v>73</v>
      </c>
      <c r="BB3" s="108">
        <f ca="1">IFERROR(__xludf.DUMMYFUNCTION("""COMPUTED_VALUE"""),72)</f>
        <v>72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</row>
    <row r="5" spans="1:67" ht="12.75">
      <c r="A5" s="638"/>
      <c r="B5" s="109" t="s">
        <v>21</v>
      </c>
      <c r="C5" s="110" t="s">
        <v>22</v>
      </c>
    </row>
    <row r="6" spans="1:67" ht="12.75">
      <c r="A6" s="111" t="s">
        <v>23</v>
      </c>
      <c r="B6" s="112"/>
      <c r="C6" s="11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</row>
    <row r="8" spans="1:67" ht="12.75">
      <c r="A8" s="114" t="s">
        <v>25</v>
      </c>
      <c r="B8" s="115"/>
      <c r="C8" s="116"/>
    </row>
    <row r="9" spans="1:67" ht="12.75">
      <c r="A9" s="114" t="s">
        <v>26</v>
      </c>
      <c r="B9" s="115">
        <f t="shared" ref="B9:C9" ca="1" si="1">SUM(K:K)</f>
        <v>4</v>
      </c>
      <c r="C9" s="116">
        <f t="shared" ca="1" si="1"/>
        <v>4</v>
      </c>
    </row>
    <row r="10" spans="1:67" ht="12.75">
      <c r="A10" s="114" t="s">
        <v>27</v>
      </c>
      <c r="B10" s="115">
        <f t="shared" ref="B10:C10" ca="1" si="2">SUM(M:M)</f>
        <v>13</v>
      </c>
      <c r="C10" s="116">
        <f t="shared" ca="1" si="2"/>
        <v>13</v>
      </c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0</v>
      </c>
      <c r="C12" s="116">
        <f t="shared" ca="1" si="3"/>
        <v>0</v>
      </c>
    </row>
    <row r="13" spans="1:67" ht="12.75">
      <c r="A13" s="114" t="s">
        <v>30</v>
      </c>
      <c r="B13" s="115">
        <f t="shared" ref="B13:C13" ca="1" si="4">SUM(Q:Q)</f>
        <v>1</v>
      </c>
      <c r="C13" s="116">
        <f t="shared" ca="1" si="4"/>
        <v>1</v>
      </c>
    </row>
    <row r="14" spans="1:67" ht="12.75">
      <c r="A14" s="114" t="s">
        <v>31</v>
      </c>
      <c r="B14" s="115">
        <f t="shared" ref="B14:C14" ca="1" si="5">SUM(S:S)</f>
        <v>141</v>
      </c>
      <c r="C14" s="116">
        <f t="shared" ca="1" si="5"/>
        <v>151</v>
      </c>
    </row>
    <row r="15" spans="1:67" ht="12.75">
      <c r="A15" s="117" t="s">
        <v>32</v>
      </c>
      <c r="B15" s="118">
        <f t="shared" ref="B15:C15" ca="1" si="6">SUM(B6:B14)</f>
        <v>159</v>
      </c>
      <c r="C15" s="119">
        <f t="shared" ca="1" si="6"/>
        <v>169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34</v>
      </c>
      <c r="C17" s="116">
        <f t="shared" ca="1" si="7"/>
        <v>33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0</v>
      </c>
      <c r="C20" s="116">
        <f t="shared" ca="1" si="10"/>
        <v>0</v>
      </c>
    </row>
    <row r="21" spans="1:3" ht="12.75">
      <c r="A21" s="114" t="s">
        <v>38</v>
      </c>
      <c r="B21" s="115">
        <f t="shared" ref="B21:C21" ca="1" si="11">SUM(AC:AC)</f>
        <v>50</v>
      </c>
      <c r="C21" s="116">
        <f t="shared" ca="1" si="11"/>
        <v>55</v>
      </c>
    </row>
    <row r="22" spans="1:3" ht="12.75">
      <c r="A22" s="114" t="s">
        <v>39</v>
      </c>
      <c r="B22" s="115">
        <f t="shared" ref="B22:C22" ca="1" si="12">SUM(AE:AE)</f>
        <v>107</v>
      </c>
      <c r="C22" s="116">
        <f t="shared" ca="1" si="12"/>
        <v>107</v>
      </c>
    </row>
    <row r="23" spans="1:3" ht="12.75">
      <c r="A23" s="114" t="s">
        <v>40</v>
      </c>
      <c r="B23" s="115">
        <f t="shared" ref="B23:C23" ca="1" si="13">SUM(AG:AG)</f>
        <v>323</v>
      </c>
      <c r="C23" s="116">
        <f t="shared" ca="1" si="13"/>
        <v>322</v>
      </c>
    </row>
    <row r="24" spans="1:3" ht="12.75">
      <c r="A24" s="117" t="s">
        <v>32</v>
      </c>
      <c r="B24" s="118">
        <f t="shared" ref="B24:C24" ca="1" si="14">SUM(B17:B23)</f>
        <v>514</v>
      </c>
      <c r="C24" s="119">
        <f t="shared" ca="1" si="14"/>
        <v>517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0</v>
      </c>
      <c r="C27" s="116">
        <f t="shared" ca="1" si="16"/>
        <v>0</v>
      </c>
    </row>
    <row r="28" spans="1:3" ht="12.75">
      <c r="A28" s="114" t="s">
        <v>44</v>
      </c>
      <c r="B28" s="115">
        <f t="shared" ref="B28:C28" ca="1" si="17">SUM(AM:AM)</f>
        <v>17</v>
      </c>
      <c r="C28" s="116">
        <f t="shared" ca="1" si="17"/>
        <v>17</v>
      </c>
    </row>
    <row r="29" spans="1:3" ht="12.75">
      <c r="A29" s="117" t="s">
        <v>32</v>
      </c>
      <c r="B29" s="118">
        <f t="shared" ref="B29:C29" ca="1" si="18">SUM(B26:B28)</f>
        <v>17</v>
      </c>
      <c r="C29" s="119">
        <f t="shared" ca="1" si="18"/>
        <v>17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32</v>
      </c>
      <c r="C32" s="116">
        <f t="shared" ca="1" si="20"/>
        <v>30</v>
      </c>
    </row>
    <row r="33" spans="1:67" ht="12.75">
      <c r="A33" s="114" t="s">
        <v>48</v>
      </c>
      <c r="B33" s="115">
        <f t="shared" ref="B33:C33" ca="1" si="21">SUM(AS:AS)</f>
        <v>1</v>
      </c>
      <c r="C33" s="116">
        <f t="shared" ca="1" si="21"/>
        <v>1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5</v>
      </c>
      <c r="C35" s="116">
        <f t="shared" ca="1" si="23"/>
        <v>5</v>
      </c>
    </row>
    <row r="36" spans="1:67" ht="12.75">
      <c r="A36" s="117" t="s">
        <v>32</v>
      </c>
      <c r="B36" s="118">
        <f t="shared" ref="B36:C36" ca="1" si="24">SUM(B31:B35)</f>
        <v>38</v>
      </c>
      <c r="C36" s="119">
        <f t="shared" ca="1" si="24"/>
        <v>36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73</v>
      </c>
      <c r="C38" s="124">
        <f t="shared" ca="1" si="26"/>
        <v>72</v>
      </c>
    </row>
    <row r="39" spans="1:67" ht="15">
      <c r="A39" s="126" t="s">
        <v>20</v>
      </c>
      <c r="B39" s="127">
        <f t="shared" ref="B39:C39" ca="1" si="27">SUM(B15,B24,B29,B36,B37,B38)</f>
        <v>801</v>
      </c>
      <c r="C39" s="128">
        <f t="shared" ca="1" si="27"/>
        <v>811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 t="s">
        <v>77</v>
      </c>
      <c r="C2" s="102" t="s">
        <v>72</v>
      </c>
      <c r="D2" s="103" t="str">
        <f ca="1">IFERROR(__xludf.DUMMYFUNCTION("QUERY('Form Responses 1'!A:BE,""select * where A&gt;= datetime '""&amp;TEXT(B3,""yyyy-mm-dd HH:mm:ss"")&amp;""' and A&lt;= datetime '""&amp;TEXT(B3+1,""yyyy-mm-dd HH:mm:ss"")&amp;""' and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14</v>
      </c>
      <c r="B3" s="141" t="e">
        <f>#REF!</f>
        <v>#REF!</v>
      </c>
      <c r="C3" s="131" t="e">
        <f>B3-1</f>
        <v>#REF!</v>
      </c>
      <c r="D3" s="130">
        <f ca="1">IFERROR(__xludf.DUMMYFUNCTION("""COMPUTED_VALUE"""),44470.3073761689)</f>
        <v>44470.307376168901</v>
      </c>
      <c r="E3" s="108" t="str">
        <f ca="1">IFERROR(__xludf.DUMMYFUNCTION("""COMPUTED_VALUE"""),"p5@rtp.com")</f>
        <v>p5@rtp.com</v>
      </c>
      <c r="F3" s="108" t="str">
        <f ca="1">IFERROR(__xludf.DUMMYFUNCTION("""COMPUTED_VALUE"""),"rtp2021")</f>
        <v>rtp2021</v>
      </c>
      <c r="G3" s="108"/>
      <c r="H3" s="108" t="str">
        <f ca="1">IFERROR(__xludf.DUMMYFUNCTION("""COMPUTED_VALUE"""),"ภ.5")</f>
        <v>ภ.5</v>
      </c>
      <c r="I3" s="108"/>
      <c r="J3" s="108"/>
      <c r="K3" s="108"/>
      <c r="L3" s="108"/>
      <c r="M3" s="108">
        <f ca="1">IFERROR(__xludf.DUMMYFUNCTION("""COMPUTED_VALUE"""),3)</f>
        <v>3</v>
      </c>
      <c r="N3" s="108">
        <f ca="1">IFERROR(__xludf.DUMMYFUNCTION("""COMPUTED_VALUE"""),3)</f>
        <v>3</v>
      </c>
      <c r="O3" s="108"/>
      <c r="P3" s="108"/>
      <c r="Q3" s="108">
        <f ca="1">IFERROR(__xludf.DUMMYFUNCTION("""COMPUTED_VALUE"""),2)</f>
        <v>2</v>
      </c>
      <c r="R3" s="108">
        <f ca="1">IFERROR(__xludf.DUMMYFUNCTION("""COMPUTED_VALUE"""),2)</f>
        <v>2</v>
      </c>
      <c r="S3" s="108">
        <f ca="1">IFERROR(__xludf.DUMMYFUNCTION("""COMPUTED_VALUE"""),1)</f>
        <v>1</v>
      </c>
      <c r="T3" s="108">
        <f ca="1">IFERROR(__xludf.DUMMYFUNCTION("""COMPUTED_VALUE"""),3)</f>
        <v>3</v>
      </c>
      <c r="U3" s="108">
        <f ca="1">IFERROR(__xludf.DUMMYFUNCTION("""COMPUTED_VALUE"""),7)</f>
        <v>7</v>
      </c>
      <c r="V3" s="108"/>
      <c r="W3" s="108"/>
      <c r="X3" s="108"/>
      <c r="Y3" s="108"/>
      <c r="Z3" s="108"/>
      <c r="AA3" s="108">
        <f ca="1">IFERROR(__xludf.DUMMYFUNCTION("""COMPUTED_VALUE"""),1)</f>
        <v>1</v>
      </c>
      <c r="AB3" s="108">
        <f ca="1">IFERROR(__xludf.DUMMYFUNCTION("""COMPUTED_VALUE"""),1)</f>
        <v>1</v>
      </c>
      <c r="AC3" s="108">
        <f ca="1">IFERROR(__xludf.DUMMYFUNCTION("""COMPUTED_VALUE"""),5)</f>
        <v>5</v>
      </c>
      <c r="AD3" s="108">
        <f ca="1">IFERROR(__xludf.DUMMYFUNCTION("""COMPUTED_VALUE"""),2)</f>
        <v>2</v>
      </c>
      <c r="AE3" s="108">
        <f ca="1">IFERROR(__xludf.DUMMYFUNCTION("""COMPUTED_VALUE"""),13)</f>
        <v>13</v>
      </c>
      <c r="AF3" s="108">
        <f ca="1">IFERROR(__xludf.DUMMYFUNCTION("""COMPUTED_VALUE"""),2)</f>
        <v>2</v>
      </c>
      <c r="AG3" s="108">
        <f ca="1">IFERROR(__xludf.DUMMYFUNCTION("""COMPUTED_VALUE"""),17)</f>
        <v>17</v>
      </c>
      <c r="AH3" s="108">
        <f ca="1">IFERROR(__xludf.DUMMYFUNCTION("""COMPUTED_VALUE"""),17)</f>
        <v>17</v>
      </c>
      <c r="AI3" s="108"/>
      <c r="AJ3" s="108"/>
      <c r="AK3" s="108"/>
      <c r="AL3" s="108"/>
      <c r="AM3" s="108">
        <f ca="1">IFERROR(__xludf.DUMMYFUNCTION("""COMPUTED_VALUE"""),6)</f>
        <v>6</v>
      </c>
      <c r="AN3" s="108">
        <f ca="1">IFERROR(__xludf.DUMMYFUNCTION("""COMPUTED_VALUE"""),6)</f>
        <v>6</v>
      </c>
      <c r="AO3" s="108"/>
      <c r="AP3" s="108"/>
      <c r="AQ3" s="108">
        <f ca="1">IFERROR(__xludf.DUMMYFUNCTION("""COMPUTED_VALUE"""),3)</f>
        <v>3</v>
      </c>
      <c r="AR3" s="108"/>
      <c r="AS3" s="108">
        <f ca="1">IFERROR(__xludf.DUMMYFUNCTION("""COMPUTED_VALUE"""),1)</f>
        <v>1</v>
      </c>
      <c r="AT3" s="108">
        <f ca="1">IFERROR(__xludf.DUMMYFUNCTION("""COMPUTED_VALUE"""),1)</f>
        <v>1</v>
      </c>
      <c r="AU3" s="108"/>
      <c r="AV3" s="108"/>
      <c r="AW3" s="108"/>
      <c r="AX3" s="108"/>
      <c r="AY3" s="108"/>
      <c r="AZ3" s="108"/>
      <c r="BA3" s="108">
        <f ca="1">IFERROR(__xludf.DUMMYFUNCTION("""COMPUTED_VALUE"""),75)</f>
        <v>75</v>
      </c>
      <c r="BB3" s="108">
        <f ca="1">IFERROR(__xludf.DUMMYFUNCTION("""COMPUTED_VALUE"""),70)</f>
        <v>70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</row>
    <row r="5" spans="1:67" ht="12.75">
      <c r="A5" s="638"/>
      <c r="B5" s="109" t="s">
        <v>21</v>
      </c>
      <c r="C5" s="110" t="s">
        <v>22</v>
      </c>
    </row>
    <row r="6" spans="1:67" ht="12.75">
      <c r="A6" s="111" t="s">
        <v>23</v>
      </c>
      <c r="B6" s="112"/>
      <c r="C6" s="11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</row>
    <row r="8" spans="1:67" ht="12.75">
      <c r="A8" s="114" t="s">
        <v>25</v>
      </c>
      <c r="B8" s="115"/>
      <c r="C8" s="116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</row>
    <row r="10" spans="1:67" ht="12.75">
      <c r="A10" s="114" t="s">
        <v>27</v>
      </c>
      <c r="B10" s="115">
        <f t="shared" ref="B10:C10" ca="1" si="2">SUM(M:M)</f>
        <v>3</v>
      </c>
      <c r="C10" s="116">
        <f t="shared" ca="1" si="2"/>
        <v>3</v>
      </c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0</v>
      </c>
      <c r="C12" s="116">
        <f t="shared" ca="1" si="3"/>
        <v>0</v>
      </c>
    </row>
    <row r="13" spans="1:67" ht="12.75">
      <c r="A13" s="114" t="s">
        <v>30</v>
      </c>
      <c r="B13" s="115">
        <f t="shared" ref="B13:C13" ca="1" si="4">SUM(Q:Q)</f>
        <v>2</v>
      </c>
      <c r="C13" s="116">
        <f t="shared" ca="1" si="4"/>
        <v>2</v>
      </c>
    </row>
    <row r="14" spans="1:67" ht="12.75">
      <c r="A14" s="114" t="s">
        <v>31</v>
      </c>
      <c r="B14" s="115">
        <f t="shared" ref="B14:C14" ca="1" si="5">SUM(S:S)</f>
        <v>1</v>
      </c>
      <c r="C14" s="116">
        <f t="shared" ca="1" si="5"/>
        <v>3</v>
      </c>
    </row>
    <row r="15" spans="1:67" ht="12.75">
      <c r="A15" s="117" t="s">
        <v>32</v>
      </c>
      <c r="B15" s="118">
        <f t="shared" ref="B15:C15" ca="1" si="6">SUM(B6:B14)</f>
        <v>6</v>
      </c>
      <c r="C15" s="119">
        <f t="shared" ca="1" si="6"/>
        <v>8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7</v>
      </c>
      <c r="C17" s="116">
        <f t="shared" ca="1" si="7"/>
        <v>0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1</v>
      </c>
      <c r="C20" s="116">
        <f t="shared" ca="1" si="10"/>
        <v>1</v>
      </c>
    </row>
    <row r="21" spans="1:3" ht="12.75">
      <c r="A21" s="114" t="s">
        <v>38</v>
      </c>
      <c r="B21" s="115">
        <f t="shared" ref="B21:C21" ca="1" si="11">SUM(AC:AC)</f>
        <v>5</v>
      </c>
      <c r="C21" s="116">
        <f t="shared" ca="1" si="11"/>
        <v>2</v>
      </c>
    </row>
    <row r="22" spans="1:3" ht="12.75">
      <c r="A22" s="114" t="s">
        <v>39</v>
      </c>
      <c r="B22" s="115">
        <f t="shared" ref="B22:C22" ca="1" si="12">SUM(AE:AE)</f>
        <v>13</v>
      </c>
      <c r="C22" s="116">
        <f t="shared" ca="1" si="12"/>
        <v>2</v>
      </c>
    </row>
    <row r="23" spans="1:3" ht="12.75">
      <c r="A23" s="114" t="s">
        <v>40</v>
      </c>
      <c r="B23" s="115">
        <f t="shared" ref="B23:C23" ca="1" si="13">SUM(AG:AG)</f>
        <v>17</v>
      </c>
      <c r="C23" s="116">
        <f t="shared" ca="1" si="13"/>
        <v>17</v>
      </c>
    </row>
    <row r="24" spans="1:3" ht="12.75">
      <c r="A24" s="117" t="s">
        <v>32</v>
      </c>
      <c r="B24" s="118">
        <f t="shared" ref="B24:C24" ca="1" si="14">SUM(B17:B23)</f>
        <v>43</v>
      </c>
      <c r="C24" s="119">
        <f t="shared" ca="1" si="14"/>
        <v>22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0</v>
      </c>
      <c r="C27" s="116">
        <f t="shared" ca="1" si="16"/>
        <v>0</v>
      </c>
    </row>
    <row r="28" spans="1:3" ht="12.75">
      <c r="A28" s="114" t="s">
        <v>44</v>
      </c>
      <c r="B28" s="115">
        <f t="shared" ref="B28:C28" ca="1" si="17">SUM(AM:AM)</f>
        <v>6</v>
      </c>
      <c r="C28" s="116">
        <f t="shared" ca="1" si="17"/>
        <v>6</v>
      </c>
    </row>
    <row r="29" spans="1:3" ht="12.75">
      <c r="A29" s="117" t="s">
        <v>32</v>
      </c>
      <c r="B29" s="118">
        <f t="shared" ref="B29:C29" ca="1" si="18">SUM(B26:B28)</f>
        <v>6</v>
      </c>
      <c r="C29" s="119">
        <f t="shared" ca="1" si="18"/>
        <v>6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3</v>
      </c>
      <c r="C32" s="116">
        <f t="shared" ca="1" si="20"/>
        <v>0</v>
      </c>
    </row>
    <row r="33" spans="1:67" ht="12.75">
      <c r="A33" s="114" t="s">
        <v>48</v>
      </c>
      <c r="B33" s="115">
        <f t="shared" ref="B33:C33" ca="1" si="21">SUM(AS:AS)</f>
        <v>1</v>
      </c>
      <c r="C33" s="116">
        <f t="shared" ca="1" si="21"/>
        <v>1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0</v>
      </c>
      <c r="C35" s="116">
        <f t="shared" ca="1" si="23"/>
        <v>0</v>
      </c>
    </row>
    <row r="36" spans="1:67" ht="12.75">
      <c r="A36" s="117" t="s">
        <v>32</v>
      </c>
      <c r="B36" s="118">
        <f t="shared" ref="B36:C36" ca="1" si="24">SUM(B31:B35)</f>
        <v>4</v>
      </c>
      <c r="C36" s="119">
        <f t="shared" ca="1" si="24"/>
        <v>1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75</v>
      </c>
      <c r="C38" s="124">
        <f t="shared" ca="1" si="26"/>
        <v>70</v>
      </c>
    </row>
    <row r="39" spans="1:67" ht="15">
      <c r="A39" s="126" t="s">
        <v>20</v>
      </c>
      <c r="B39" s="127">
        <f t="shared" ref="B39:C39" ca="1" si="27">SUM(B15,B24,B29,B36,B37,B38)</f>
        <v>134</v>
      </c>
      <c r="C39" s="128">
        <f t="shared" ca="1" si="27"/>
        <v>107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 t="s">
        <v>77</v>
      </c>
      <c r="C2" s="102" t="s">
        <v>72</v>
      </c>
      <c r="D2" s="103" t="str">
        <f ca="1">IFERROR(__xludf.DUMMYFUNCTION("QUERY('Form Responses 1'!A:BE,""select * where A&gt;= datetime '""&amp;TEXT(B3,""yyyy-mm-dd HH:mm:ss"")&amp;""' and A&lt;= datetime '""&amp;TEXT(B3+1,""yyyy-mm-dd HH:mm:ss"")&amp;""' and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15</v>
      </c>
      <c r="B3" s="141" t="e">
        <f>#REF!</f>
        <v>#REF!</v>
      </c>
      <c r="C3" s="131" t="e">
        <f>B3-1</f>
        <v>#REF!</v>
      </c>
      <c r="D3" s="130">
        <f ca="1">IFERROR(__xludf.DUMMYFUNCTION("""COMPUTED_VALUE"""),44470.0077485069)</f>
        <v>44470.007748506898</v>
      </c>
      <c r="E3" s="108" t="str">
        <f ca="1">IFERROR(__xludf.DUMMYFUNCTION("""COMPUTED_VALUE"""),"p6@rtp.com")</f>
        <v>p6@rtp.com</v>
      </c>
      <c r="F3" s="108" t="str">
        <f ca="1">IFERROR(__xludf.DUMMYFUNCTION("""COMPUTED_VALUE"""),"rtp2021")</f>
        <v>rtp2021</v>
      </c>
      <c r="G3" s="108"/>
      <c r="H3" s="108" t="str">
        <f ca="1">IFERROR(__xludf.DUMMYFUNCTION("""COMPUTED_VALUE"""),"ภ.6")</f>
        <v>ภ.6</v>
      </c>
      <c r="I3" s="108">
        <f ca="1">IFERROR(__xludf.DUMMYFUNCTION("""COMPUTED_VALUE"""),0)</f>
        <v>0</v>
      </c>
      <c r="J3" s="108">
        <f ca="1">IFERROR(__xludf.DUMMYFUNCTION("""COMPUTED_VALUE"""),0)</f>
        <v>0</v>
      </c>
      <c r="K3" s="108"/>
      <c r="L3" s="108"/>
      <c r="M3" s="108">
        <f ca="1">IFERROR(__xludf.DUMMYFUNCTION("""COMPUTED_VALUE"""),3)</f>
        <v>3</v>
      </c>
      <c r="N3" s="108">
        <f ca="1">IFERROR(__xludf.DUMMYFUNCTION("""COMPUTED_VALUE"""),3)</f>
        <v>3</v>
      </c>
      <c r="O3" s="108">
        <f ca="1">IFERROR(__xludf.DUMMYFUNCTION("""COMPUTED_VALUE"""),0)</f>
        <v>0</v>
      </c>
      <c r="P3" s="108">
        <f ca="1">IFERROR(__xludf.DUMMYFUNCTION("""COMPUTED_VALUE"""),0)</f>
        <v>0</v>
      </c>
      <c r="Q3" s="108">
        <f ca="1">IFERROR(__xludf.DUMMYFUNCTION("""COMPUTED_VALUE"""),2)</f>
        <v>2</v>
      </c>
      <c r="R3" s="108">
        <f ca="1">IFERROR(__xludf.DUMMYFUNCTION("""COMPUTED_VALUE"""),2)</f>
        <v>2</v>
      </c>
      <c r="S3" s="108">
        <f ca="1">IFERROR(__xludf.DUMMYFUNCTION("""COMPUTED_VALUE"""),1)</f>
        <v>1</v>
      </c>
      <c r="T3" s="108">
        <f ca="1">IFERROR(__xludf.DUMMYFUNCTION("""COMPUTED_VALUE"""),6)</f>
        <v>6</v>
      </c>
      <c r="U3" s="108">
        <f ca="1">IFERROR(__xludf.DUMMYFUNCTION("""COMPUTED_VALUE"""),0)</f>
        <v>0</v>
      </c>
      <c r="V3" s="108">
        <f ca="1">IFERROR(__xludf.DUMMYFUNCTION("""COMPUTED_VALUE"""),0)</f>
        <v>0</v>
      </c>
      <c r="W3" s="108">
        <f ca="1">IFERROR(__xludf.DUMMYFUNCTION("""COMPUTED_VALUE"""),0)</f>
        <v>0</v>
      </c>
      <c r="X3" s="108">
        <f ca="1">IFERROR(__xludf.DUMMYFUNCTION("""COMPUTED_VALUE"""),0)</f>
        <v>0</v>
      </c>
      <c r="Y3" s="108">
        <f ca="1">IFERROR(__xludf.DUMMYFUNCTION("""COMPUTED_VALUE"""),0)</f>
        <v>0</v>
      </c>
      <c r="Z3" s="108">
        <f ca="1">IFERROR(__xludf.DUMMYFUNCTION("""COMPUTED_VALUE"""),0)</f>
        <v>0</v>
      </c>
      <c r="AA3" s="108">
        <f ca="1">IFERROR(__xludf.DUMMYFUNCTION("""COMPUTED_VALUE"""),5)</f>
        <v>5</v>
      </c>
      <c r="AB3" s="108">
        <f ca="1">IFERROR(__xludf.DUMMYFUNCTION("""COMPUTED_VALUE"""),6)</f>
        <v>6</v>
      </c>
      <c r="AC3" s="108">
        <f ca="1">IFERROR(__xludf.DUMMYFUNCTION("""COMPUTED_VALUE"""),18)</f>
        <v>18</v>
      </c>
      <c r="AD3" s="108">
        <f ca="1">IFERROR(__xludf.DUMMYFUNCTION("""COMPUTED_VALUE"""),17)</f>
        <v>17</v>
      </c>
      <c r="AE3" s="108">
        <f ca="1">IFERROR(__xludf.DUMMYFUNCTION("""COMPUTED_VALUE"""),16)</f>
        <v>16</v>
      </c>
      <c r="AF3" s="108">
        <f ca="1">IFERROR(__xludf.DUMMYFUNCTION("""COMPUTED_VALUE"""),16)</f>
        <v>16</v>
      </c>
      <c r="AG3" s="108">
        <f ca="1">IFERROR(__xludf.DUMMYFUNCTION("""COMPUTED_VALUE"""),46)</f>
        <v>46</v>
      </c>
      <c r="AH3" s="108">
        <f ca="1">IFERROR(__xludf.DUMMYFUNCTION("""COMPUTED_VALUE"""),46)</f>
        <v>46</v>
      </c>
      <c r="AI3" s="108">
        <f ca="1">IFERROR(__xludf.DUMMYFUNCTION("""COMPUTED_VALUE"""),0)</f>
        <v>0</v>
      </c>
      <c r="AJ3" s="108">
        <f ca="1">IFERROR(__xludf.DUMMYFUNCTION("""COMPUTED_VALUE"""),0)</f>
        <v>0</v>
      </c>
      <c r="AK3" s="108">
        <f ca="1">IFERROR(__xludf.DUMMYFUNCTION("""COMPUTED_VALUE"""),1)</f>
        <v>1</v>
      </c>
      <c r="AL3" s="108">
        <f ca="1">IFERROR(__xludf.DUMMYFUNCTION("""COMPUTED_VALUE"""),1)</f>
        <v>1</v>
      </c>
      <c r="AM3" s="108">
        <f ca="1">IFERROR(__xludf.DUMMYFUNCTION("""COMPUTED_VALUE"""),24)</f>
        <v>24</v>
      </c>
      <c r="AN3" s="108">
        <f ca="1">IFERROR(__xludf.DUMMYFUNCTION("""COMPUTED_VALUE"""),24)</f>
        <v>24</v>
      </c>
      <c r="AO3" s="108">
        <f ca="1">IFERROR(__xludf.DUMMYFUNCTION("""COMPUTED_VALUE"""),0)</f>
        <v>0</v>
      </c>
      <c r="AP3" s="108">
        <f ca="1">IFERROR(__xludf.DUMMYFUNCTION("""COMPUTED_VALUE"""),0)</f>
        <v>0</v>
      </c>
      <c r="AQ3" s="108">
        <f ca="1">IFERROR(__xludf.DUMMYFUNCTION("""COMPUTED_VALUE"""),5)</f>
        <v>5</v>
      </c>
      <c r="AR3" s="108">
        <f ca="1">IFERROR(__xludf.DUMMYFUNCTION("""COMPUTED_VALUE"""),5)</f>
        <v>5</v>
      </c>
      <c r="AS3" s="108">
        <f ca="1">IFERROR(__xludf.DUMMYFUNCTION("""COMPUTED_VALUE"""),0)</f>
        <v>0</v>
      </c>
      <c r="AT3" s="108">
        <f ca="1">IFERROR(__xludf.DUMMYFUNCTION("""COMPUTED_VALUE"""),0)</f>
        <v>0</v>
      </c>
      <c r="AU3" s="108">
        <f ca="1">IFERROR(__xludf.DUMMYFUNCTION("""COMPUTED_VALUE"""),0)</f>
        <v>0</v>
      </c>
      <c r="AV3" s="108">
        <f ca="1">IFERROR(__xludf.DUMMYFUNCTION("""COMPUTED_VALUE"""),0)</f>
        <v>0</v>
      </c>
      <c r="AW3" s="108">
        <f ca="1">IFERROR(__xludf.DUMMYFUNCTION("""COMPUTED_VALUE"""),2)</f>
        <v>2</v>
      </c>
      <c r="AX3" s="108">
        <f ca="1">IFERROR(__xludf.DUMMYFUNCTION("""COMPUTED_VALUE"""),2)</f>
        <v>2</v>
      </c>
      <c r="AY3" s="108">
        <f ca="1">IFERROR(__xludf.DUMMYFUNCTION("""COMPUTED_VALUE"""),0)</f>
        <v>0</v>
      </c>
      <c r="AZ3" s="108">
        <f ca="1">IFERROR(__xludf.DUMMYFUNCTION("""COMPUTED_VALUE"""),0)</f>
        <v>0</v>
      </c>
      <c r="BA3" s="108">
        <f ca="1">IFERROR(__xludf.DUMMYFUNCTION("""COMPUTED_VALUE"""),29)</f>
        <v>29</v>
      </c>
      <c r="BB3" s="108">
        <f ca="1">IFERROR(__xludf.DUMMYFUNCTION("""COMPUTED_VALUE"""),29)</f>
        <v>29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</row>
    <row r="5" spans="1:67" ht="12.75">
      <c r="A5" s="638"/>
      <c r="B5" s="109" t="s">
        <v>21</v>
      </c>
      <c r="C5" s="110" t="s">
        <v>22</v>
      </c>
    </row>
    <row r="6" spans="1:67" ht="12.75">
      <c r="A6" s="111" t="s">
        <v>23</v>
      </c>
      <c r="B6" s="112"/>
      <c r="C6" s="11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</row>
    <row r="8" spans="1:67" ht="12.75">
      <c r="A8" s="114" t="s">
        <v>25</v>
      </c>
      <c r="B8" s="115"/>
      <c r="C8" s="116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</row>
    <row r="10" spans="1:67" ht="12.75">
      <c r="A10" s="114" t="s">
        <v>27</v>
      </c>
      <c r="B10" s="115">
        <f t="shared" ref="B10:C10" ca="1" si="2">SUM(M:M)</f>
        <v>3</v>
      </c>
      <c r="C10" s="116">
        <f t="shared" ca="1" si="2"/>
        <v>3</v>
      </c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0</v>
      </c>
      <c r="C12" s="116">
        <f t="shared" ca="1" si="3"/>
        <v>0</v>
      </c>
    </row>
    <row r="13" spans="1:67" ht="12.75">
      <c r="A13" s="114" t="s">
        <v>30</v>
      </c>
      <c r="B13" s="115">
        <f t="shared" ref="B13:C13" ca="1" si="4">SUM(Q:Q)</f>
        <v>2</v>
      </c>
      <c r="C13" s="116">
        <f t="shared" ca="1" si="4"/>
        <v>2</v>
      </c>
    </row>
    <row r="14" spans="1:67" ht="12.75">
      <c r="A14" s="114" t="s">
        <v>31</v>
      </c>
      <c r="B14" s="115">
        <f t="shared" ref="B14:C14" ca="1" si="5">SUM(S:S)</f>
        <v>1</v>
      </c>
      <c r="C14" s="116">
        <f t="shared" ca="1" si="5"/>
        <v>6</v>
      </c>
    </row>
    <row r="15" spans="1:67" ht="12.75">
      <c r="A15" s="117" t="s">
        <v>32</v>
      </c>
      <c r="B15" s="118">
        <f t="shared" ref="B15:C15" ca="1" si="6">SUM(B6:B14)</f>
        <v>6</v>
      </c>
      <c r="C15" s="119">
        <f t="shared" ca="1" si="6"/>
        <v>11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0</v>
      </c>
      <c r="C17" s="116">
        <f t="shared" ca="1" si="7"/>
        <v>0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5</v>
      </c>
      <c r="C20" s="116">
        <f t="shared" ca="1" si="10"/>
        <v>6</v>
      </c>
    </row>
    <row r="21" spans="1:3" ht="12.75">
      <c r="A21" s="114" t="s">
        <v>38</v>
      </c>
      <c r="B21" s="115">
        <f t="shared" ref="B21:C21" ca="1" si="11">SUM(AC:AC)</f>
        <v>18</v>
      </c>
      <c r="C21" s="116">
        <f t="shared" ca="1" si="11"/>
        <v>17</v>
      </c>
    </row>
    <row r="22" spans="1:3" ht="12.75">
      <c r="A22" s="114" t="s">
        <v>39</v>
      </c>
      <c r="B22" s="115">
        <f t="shared" ref="B22:C22" ca="1" si="12">SUM(AE:AE)</f>
        <v>16</v>
      </c>
      <c r="C22" s="116">
        <f t="shared" ca="1" si="12"/>
        <v>16</v>
      </c>
    </row>
    <row r="23" spans="1:3" ht="12.75">
      <c r="A23" s="114" t="s">
        <v>40</v>
      </c>
      <c r="B23" s="115">
        <f t="shared" ref="B23:C23" ca="1" si="13">SUM(AG:AG)</f>
        <v>46</v>
      </c>
      <c r="C23" s="116">
        <f t="shared" ca="1" si="13"/>
        <v>46</v>
      </c>
    </row>
    <row r="24" spans="1:3" ht="12.75">
      <c r="A24" s="117" t="s">
        <v>32</v>
      </c>
      <c r="B24" s="118">
        <f t="shared" ref="B24:C24" ca="1" si="14">SUM(B17:B23)</f>
        <v>85</v>
      </c>
      <c r="C24" s="119">
        <f t="shared" ca="1" si="14"/>
        <v>85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1</v>
      </c>
      <c r="C27" s="116">
        <f t="shared" ca="1" si="16"/>
        <v>1</v>
      </c>
    </row>
    <row r="28" spans="1:3" ht="12.75">
      <c r="A28" s="114" t="s">
        <v>44</v>
      </c>
      <c r="B28" s="115">
        <f t="shared" ref="B28:C28" ca="1" si="17">SUM(AM:AM)</f>
        <v>24</v>
      </c>
      <c r="C28" s="116">
        <f t="shared" ca="1" si="17"/>
        <v>24</v>
      </c>
    </row>
    <row r="29" spans="1:3" ht="12.75">
      <c r="A29" s="117" t="s">
        <v>32</v>
      </c>
      <c r="B29" s="118">
        <f t="shared" ref="B29:C29" ca="1" si="18">SUM(B26:B28)</f>
        <v>25</v>
      </c>
      <c r="C29" s="119">
        <f t="shared" ca="1" si="18"/>
        <v>25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5</v>
      </c>
      <c r="C32" s="116">
        <f t="shared" ca="1" si="20"/>
        <v>5</v>
      </c>
    </row>
    <row r="33" spans="1:67" ht="12.75">
      <c r="A33" s="114" t="s">
        <v>48</v>
      </c>
      <c r="B33" s="115">
        <f t="shared" ref="B33:C33" ca="1" si="21">SUM(AS:AS)</f>
        <v>0</v>
      </c>
      <c r="C33" s="116">
        <f t="shared" ca="1" si="21"/>
        <v>0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2</v>
      </c>
      <c r="C35" s="116">
        <f t="shared" ca="1" si="23"/>
        <v>2</v>
      </c>
    </row>
    <row r="36" spans="1:67" ht="12.75">
      <c r="A36" s="117" t="s">
        <v>32</v>
      </c>
      <c r="B36" s="118">
        <f t="shared" ref="B36:C36" ca="1" si="24">SUM(B31:B35)</f>
        <v>7</v>
      </c>
      <c r="C36" s="119">
        <f t="shared" ca="1" si="24"/>
        <v>7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29</v>
      </c>
      <c r="C38" s="124">
        <f t="shared" ca="1" si="26"/>
        <v>29</v>
      </c>
    </row>
    <row r="39" spans="1:67" ht="15">
      <c r="A39" s="126" t="s">
        <v>20</v>
      </c>
      <c r="B39" s="127">
        <f t="shared" ref="B39:C39" ca="1" si="27">SUM(B15,B24,B29,B36,B37,B38)</f>
        <v>152</v>
      </c>
      <c r="C39" s="128">
        <f t="shared" ca="1" si="27"/>
        <v>157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 t="s">
        <v>77</v>
      </c>
      <c r="C2" s="102" t="s">
        <v>72</v>
      </c>
      <c r="D2" s="103" t="str">
        <f ca="1">IFERROR(__xludf.DUMMYFUNCTION("QUERY('Form Responses 1'!A:BE,""select * where A&gt;= datetime '""&amp;TEXT(B3,""yyyy-mm-dd HH:mm:ss"")&amp;""' and A&lt;= datetime '""&amp;TEXT(B3+1,""yyyy-mm-dd HH:mm:ss"")&amp;""' and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1</v>
      </c>
      <c r="B3" s="141" t="e">
        <f>#REF!</f>
        <v>#REF!</v>
      </c>
      <c r="C3" s="131" t="e">
        <f>B3-1</f>
        <v>#REF!</v>
      </c>
      <c r="D3" s="130">
        <f ca="1">IFERROR(__xludf.DUMMYFUNCTION("""COMPUTED_VALUE"""),44470.3150835416)</f>
        <v>44470.315083541602</v>
      </c>
      <c r="E3" s="108" t="str">
        <f ca="1">IFERROR(__xludf.DUMMYFUNCTION("""COMPUTED_VALUE"""),"p7@rtp.com")</f>
        <v>p7@rtp.com</v>
      </c>
      <c r="F3" s="108" t="str">
        <f ca="1">IFERROR(__xludf.DUMMYFUNCTION("""COMPUTED_VALUE"""),"rtp2021")</f>
        <v>rtp2021</v>
      </c>
      <c r="G3" s="108"/>
      <c r="H3" s="108" t="str">
        <f ca="1">IFERROR(__xludf.DUMMYFUNCTION("""COMPUTED_VALUE"""),"ภ.7")</f>
        <v>ภ.7</v>
      </c>
      <c r="I3" s="108">
        <f ca="1">IFERROR(__xludf.DUMMYFUNCTION("""COMPUTED_VALUE"""),0)</f>
        <v>0</v>
      </c>
      <c r="J3" s="108">
        <f ca="1">IFERROR(__xludf.DUMMYFUNCTION("""COMPUTED_VALUE"""),0)</f>
        <v>0</v>
      </c>
      <c r="K3" s="108">
        <f ca="1">IFERROR(__xludf.DUMMYFUNCTION("""COMPUTED_VALUE"""),0)</f>
        <v>0</v>
      </c>
      <c r="L3" s="108">
        <f ca="1">IFERROR(__xludf.DUMMYFUNCTION("""COMPUTED_VALUE"""),0)</f>
        <v>0</v>
      </c>
      <c r="M3" s="108">
        <f ca="1">IFERROR(__xludf.DUMMYFUNCTION("""COMPUTED_VALUE"""),5)</f>
        <v>5</v>
      </c>
      <c r="N3" s="108">
        <f ca="1">IFERROR(__xludf.DUMMYFUNCTION("""COMPUTED_VALUE"""),5)</f>
        <v>5</v>
      </c>
      <c r="O3" s="108">
        <f ca="1">IFERROR(__xludf.DUMMYFUNCTION("""COMPUTED_VALUE"""),0)</f>
        <v>0</v>
      </c>
      <c r="P3" s="108">
        <f ca="1">IFERROR(__xludf.DUMMYFUNCTION("""COMPUTED_VALUE"""),0)</f>
        <v>0</v>
      </c>
      <c r="Q3" s="108">
        <f ca="1">IFERROR(__xludf.DUMMYFUNCTION("""COMPUTED_VALUE"""),6)</f>
        <v>6</v>
      </c>
      <c r="R3" s="108">
        <f ca="1">IFERROR(__xludf.DUMMYFUNCTION("""COMPUTED_VALUE"""),6)</f>
        <v>6</v>
      </c>
      <c r="S3" s="108">
        <f ca="1">IFERROR(__xludf.DUMMYFUNCTION("""COMPUTED_VALUE"""),2)</f>
        <v>2</v>
      </c>
      <c r="T3" s="108">
        <f ca="1">IFERROR(__xludf.DUMMYFUNCTION("""COMPUTED_VALUE"""),8)</f>
        <v>8</v>
      </c>
      <c r="U3" s="108">
        <f ca="1">IFERROR(__xludf.DUMMYFUNCTION("""COMPUTED_VALUE"""),0)</f>
        <v>0</v>
      </c>
      <c r="V3" s="108">
        <f ca="1">IFERROR(__xludf.DUMMYFUNCTION("""COMPUTED_VALUE"""),0)</f>
        <v>0</v>
      </c>
      <c r="W3" s="108">
        <f ca="1">IFERROR(__xludf.DUMMYFUNCTION("""COMPUTED_VALUE"""),0)</f>
        <v>0</v>
      </c>
      <c r="X3" s="108">
        <f ca="1">IFERROR(__xludf.DUMMYFUNCTION("""COMPUTED_VALUE"""),0)</f>
        <v>0</v>
      </c>
      <c r="Y3" s="108">
        <f ca="1">IFERROR(__xludf.DUMMYFUNCTION("""COMPUTED_VALUE"""),0)</f>
        <v>0</v>
      </c>
      <c r="Z3" s="108">
        <f ca="1">IFERROR(__xludf.DUMMYFUNCTION("""COMPUTED_VALUE"""),0)</f>
        <v>0</v>
      </c>
      <c r="AA3" s="108">
        <f ca="1">IFERROR(__xludf.DUMMYFUNCTION("""COMPUTED_VALUE"""),0)</f>
        <v>0</v>
      </c>
      <c r="AB3" s="108">
        <f ca="1">IFERROR(__xludf.DUMMYFUNCTION("""COMPUTED_VALUE"""),0)</f>
        <v>0</v>
      </c>
      <c r="AC3" s="108">
        <f ca="1">IFERROR(__xludf.DUMMYFUNCTION("""COMPUTED_VALUE"""),17)</f>
        <v>17</v>
      </c>
      <c r="AD3" s="108">
        <f ca="1">IFERROR(__xludf.DUMMYFUNCTION("""COMPUTED_VALUE"""),17)</f>
        <v>17</v>
      </c>
      <c r="AE3" s="108">
        <f ca="1">IFERROR(__xludf.DUMMYFUNCTION("""COMPUTED_VALUE"""),16)</f>
        <v>16</v>
      </c>
      <c r="AF3" s="108">
        <f ca="1">IFERROR(__xludf.DUMMYFUNCTION("""COMPUTED_VALUE"""),17)</f>
        <v>17</v>
      </c>
      <c r="AG3" s="108">
        <f ca="1">IFERROR(__xludf.DUMMYFUNCTION("""COMPUTED_VALUE"""),22)</f>
        <v>22</v>
      </c>
      <c r="AH3" s="108">
        <f ca="1">IFERROR(__xludf.DUMMYFUNCTION("""COMPUTED_VALUE"""),22)</f>
        <v>22</v>
      </c>
      <c r="AI3" s="108">
        <f ca="1">IFERROR(__xludf.DUMMYFUNCTION("""COMPUTED_VALUE"""),0)</f>
        <v>0</v>
      </c>
      <c r="AJ3" s="108">
        <f ca="1">IFERROR(__xludf.DUMMYFUNCTION("""COMPUTED_VALUE"""),0)</f>
        <v>0</v>
      </c>
      <c r="AK3" s="108">
        <f ca="1">IFERROR(__xludf.DUMMYFUNCTION("""COMPUTED_VALUE"""),0)</f>
        <v>0</v>
      </c>
      <c r="AL3" s="108">
        <f ca="1">IFERROR(__xludf.DUMMYFUNCTION("""COMPUTED_VALUE"""),0)</f>
        <v>0</v>
      </c>
      <c r="AM3" s="108">
        <f ca="1">IFERROR(__xludf.DUMMYFUNCTION("""COMPUTED_VALUE"""),17)</f>
        <v>17</v>
      </c>
      <c r="AN3" s="108">
        <f ca="1">IFERROR(__xludf.DUMMYFUNCTION("""COMPUTED_VALUE"""),17)</f>
        <v>17</v>
      </c>
      <c r="AO3" s="108">
        <f ca="1">IFERROR(__xludf.DUMMYFUNCTION("""COMPUTED_VALUE"""),0)</f>
        <v>0</v>
      </c>
      <c r="AP3" s="108">
        <f ca="1">IFERROR(__xludf.DUMMYFUNCTION("""COMPUTED_VALUE"""),0)</f>
        <v>0</v>
      </c>
      <c r="AQ3" s="108">
        <f ca="1">IFERROR(__xludf.DUMMYFUNCTION("""COMPUTED_VALUE"""),10)</f>
        <v>10</v>
      </c>
      <c r="AR3" s="108">
        <f ca="1">IFERROR(__xludf.DUMMYFUNCTION("""COMPUTED_VALUE"""),10)</f>
        <v>10</v>
      </c>
      <c r="AS3" s="108">
        <f ca="1">IFERROR(__xludf.DUMMYFUNCTION("""COMPUTED_VALUE"""),1)</f>
        <v>1</v>
      </c>
      <c r="AT3" s="108">
        <f ca="1">IFERROR(__xludf.DUMMYFUNCTION("""COMPUTED_VALUE"""),1)</f>
        <v>1</v>
      </c>
      <c r="AU3" s="108">
        <f ca="1">IFERROR(__xludf.DUMMYFUNCTION("""COMPUTED_VALUE"""),0)</f>
        <v>0</v>
      </c>
      <c r="AV3" s="108">
        <f ca="1">IFERROR(__xludf.DUMMYFUNCTION("""COMPUTED_VALUE"""),0)</f>
        <v>0</v>
      </c>
      <c r="AW3" s="108">
        <f ca="1">IFERROR(__xludf.DUMMYFUNCTION("""COMPUTED_VALUE"""),0)</f>
        <v>0</v>
      </c>
      <c r="AX3" s="108">
        <f ca="1">IFERROR(__xludf.DUMMYFUNCTION("""COMPUTED_VALUE"""),0)</f>
        <v>0</v>
      </c>
      <c r="AY3" s="108">
        <f ca="1">IFERROR(__xludf.DUMMYFUNCTION("""COMPUTED_VALUE"""),0)</f>
        <v>0</v>
      </c>
      <c r="AZ3" s="108">
        <f ca="1">IFERROR(__xludf.DUMMYFUNCTION("""COMPUTED_VALUE"""),0)</f>
        <v>0</v>
      </c>
      <c r="BA3" s="108">
        <f ca="1">IFERROR(__xludf.DUMMYFUNCTION("""COMPUTED_VALUE"""),25)</f>
        <v>25</v>
      </c>
      <c r="BB3" s="108">
        <f ca="1">IFERROR(__xludf.DUMMYFUNCTION("""COMPUTED_VALUE"""),25)</f>
        <v>25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</row>
    <row r="5" spans="1:67" ht="12.75">
      <c r="A5" s="638"/>
      <c r="B5" s="109" t="s">
        <v>21</v>
      </c>
      <c r="C5" s="110" t="s">
        <v>22</v>
      </c>
    </row>
    <row r="6" spans="1:67" ht="12.75">
      <c r="A6" s="111" t="s">
        <v>23</v>
      </c>
      <c r="B6" s="112"/>
      <c r="C6" s="11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</row>
    <row r="8" spans="1:67" ht="12.75">
      <c r="A8" s="114" t="s">
        <v>25</v>
      </c>
      <c r="B8" s="115"/>
      <c r="C8" s="116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</row>
    <row r="10" spans="1:67" ht="12.75">
      <c r="A10" s="114" t="s">
        <v>27</v>
      </c>
      <c r="B10" s="115">
        <f t="shared" ref="B10:C10" ca="1" si="2">SUM(M:M)</f>
        <v>5</v>
      </c>
      <c r="C10" s="116">
        <f t="shared" ca="1" si="2"/>
        <v>5</v>
      </c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0</v>
      </c>
      <c r="C12" s="116">
        <f t="shared" ca="1" si="3"/>
        <v>0</v>
      </c>
    </row>
    <row r="13" spans="1:67" ht="12.75">
      <c r="A13" s="114" t="s">
        <v>30</v>
      </c>
      <c r="B13" s="115">
        <f t="shared" ref="B13:C13" ca="1" si="4">SUM(Q:Q)</f>
        <v>6</v>
      </c>
      <c r="C13" s="116">
        <f t="shared" ca="1" si="4"/>
        <v>6</v>
      </c>
    </row>
    <row r="14" spans="1:67" ht="12.75">
      <c r="A14" s="114" t="s">
        <v>31</v>
      </c>
      <c r="B14" s="115">
        <f t="shared" ref="B14:C14" ca="1" si="5">SUM(S:S)</f>
        <v>2</v>
      </c>
      <c r="C14" s="116">
        <f t="shared" ca="1" si="5"/>
        <v>8</v>
      </c>
    </row>
    <row r="15" spans="1:67" ht="12.75">
      <c r="A15" s="117" t="s">
        <v>32</v>
      </c>
      <c r="B15" s="118">
        <f t="shared" ref="B15:C15" ca="1" si="6">SUM(B6:B14)</f>
        <v>13</v>
      </c>
      <c r="C15" s="119">
        <f t="shared" ca="1" si="6"/>
        <v>19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0</v>
      </c>
      <c r="C17" s="116">
        <f t="shared" ca="1" si="7"/>
        <v>0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0</v>
      </c>
      <c r="C20" s="116">
        <f t="shared" ca="1" si="10"/>
        <v>0</v>
      </c>
    </row>
    <row r="21" spans="1:3" ht="12.75">
      <c r="A21" s="114" t="s">
        <v>38</v>
      </c>
      <c r="B21" s="115">
        <f t="shared" ref="B21:C21" ca="1" si="11">SUM(AC:AC)</f>
        <v>17</v>
      </c>
      <c r="C21" s="116">
        <f t="shared" ca="1" si="11"/>
        <v>17</v>
      </c>
    </row>
    <row r="22" spans="1:3" ht="12.75">
      <c r="A22" s="114" t="s">
        <v>39</v>
      </c>
      <c r="B22" s="115">
        <f t="shared" ref="B22:C22" ca="1" si="12">SUM(AE:AE)</f>
        <v>16</v>
      </c>
      <c r="C22" s="116">
        <f t="shared" ca="1" si="12"/>
        <v>17</v>
      </c>
    </row>
    <row r="23" spans="1:3" ht="12.75">
      <c r="A23" s="114" t="s">
        <v>40</v>
      </c>
      <c r="B23" s="115">
        <f t="shared" ref="B23:C23" ca="1" si="13">SUM(AG:AG)</f>
        <v>22</v>
      </c>
      <c r="C23" s="116">
        <f t="shared" ca="1" si="13"/>
        <v>22</v>
      </c>
    </row>
    <row r="24" spans="1:3" ht="12.75">
      <c r="A24" s="117" t="s">
        <v>32</v>
      </c>
      <c r="B24" s="118">
        <f t="shared" ref="B24:C24" ca="1" si="14">SUM(B17:B23)</f>
        <v>55</v>
      </c>
      <c r="C24" s="119">
        <f t="shared" ca="1" si="14"/>
        <v>56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0</v>
      </c>
      <c r="C27" s="116">
        <f t="shared" ca="1" si="16"/>
        <v>0</v>
      </c>
    </row>
    <row r="28" spans="1:3" ht="12.75">
      <c r="A28" s="114" t="s">
        <v>44</v>
      </c>
      <c r="B28" s="115">
        <f t="shared" ref="B28:C28" ca="1" si="17">SUM(AM:AM)</f>
        <v>17</v>
      </c>
      <c r="C28" s="116">
        <f t="shared" ca="1" si="17"/>
        <v>17</v>
      </c>
    </row>
    <row r="29" spans="1:3" ht="12.75">
      <c r="A29" s="117" t="s">
        <v>32</v>
      </c>
      <c r="B29" s="118">
        <f t="shared" ref="B29:C29" ca="1" si="18">SUM(B26:B28)</f>
        <v>17</v>
      </c>
      <c r="C29" s="119">
        <f t="shared" ca="1" si="18"/>
        <v>17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10</v>
      </c>
      <c r="C32" s="116">
        <f t="shared" ca="1" si="20"/>
        <v>10</v>
      </c>
    </row>
    <row r="33" spans="1:67" ht="12.75">
      <c r="A33" s="114" t="s">
        <v>48</v>
      </c>
      <c r="B33" s="115">
        <f t="shared" ref="B33:C33" ca="1" si="21">SUM(AS:AS)</f>
        <v>1</v>
      </c>
      <c r="C33" s="116">
        <f t="shared" ca="1" si="21"/>
        <v>1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0</v>
      </c>
      <c r="C35" s="116">
        <f t="shared" ca="1" si="23"/>
        <v>0</v>
      </c>
    </row>
    <row r="36" spans="1:67" ht="12.75">
      <c r="A36" s="117" t="s">
        <v>32</v>
      </c>
      <c r="B36" s="118">
        <f t="shared" ref="B36:C36" ca="1" si="24">SUM(B31:B35)</f>
        <v>11</v>
      </c>
      <c r="C36" s="119">
        <f t="shared" ca="1" si="24"/>
        <v>11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25</v>
      </c>
      <c r="C38" s="124">
        <f t="shared" ca="1" si="26"/>
        <v>25</v>
      </c>
    </row>
    <row r="39" spans="1:67" ht="15">
      <c r="A39" s="126" t="s">
        <v>20</v>
      </c>
      <c r="B39" s="127">
        <f t="shared" ref="B39:C39" ca="1" si="27">SUM(B15,B24,B29,B36,B37,B38)</f>
        <v>121</v>
      </c>
      <c r="C39" s="128">
        <f t="shared" ca="1" si="27"/>
        <v>128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B95F9"/>
    <outlinePr summaryBelow="0" summaryRight="0"/>
  </sheetPr>
  <dimension ref="A1:CB38"/>
  <sheetViews>
    <sheetView showGridLines="0" topLeftCell="AP1" workbookViewId="0">
      <pane ySplit="3" topLeftCell="A10" activePane="bottomLeft" state="frozen"/>
      <selection pane="bottomLeft" activeCell="B36" sqref="B36:C36"/>
    </sheetView>
  </sheetViews>
  <sheetFormatPr defaultColWidth="14.42578125" defaultRowHeight="15.75" customHeight="1"/>
  <cols>
    <col min="1" max="1" width="37.5703125" customWidth="1"/>
    <col min="2" max="49" width="6.42578125" customWidth="1"/>
    <col min="50" max="51" width="8.42578125" customWidth="1"/>
    <col min="52" max="80" width="5.140625" customWidth="1"/>
  </cols>
  <sheetData>
    <row r="1" spans="1:80" ht="15.75" customHeight="1" thickBot="1">
      <c r="A1" s="48" t="s">
        <v>17</v>
      </c>
      <c r="B1" s="634" t="s">
        <v>18</v>
      </c>
      <c r="C1" s="635"/>
      <c r="D1" s="635"/>
      <c r="E1" s="636">
        <f ca="1">TODAY()-1</f>
        <v>44487</v>
      </c>
      <c r="F1" s="635"/>
      <c r="G1" s="635"/>
      <c r="H1" s="635"/>
      <c r="I1" s="635"/>
      <c r="J1" s="63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6"/>
      <c r="AP1" s="6"/>
      <c r="AQ1" s="6"/>
      <c r="AR1" s="6"/>
      <c r="AS1" s="6"/>
      <c r="AT1" s="6"/>
      <c r="AU1" s="6"/>
      <c r="AV1" s="6"/>
      <c r="AW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</row>
    <row r="2" spans="1:80" ht="13.5" thickBot="1">
      <c r="A2" s="670" t="s">
        <v>19</v>
      </c>
      <c r="B2" s="672" t="s">
        <v>11</v>
      </c>
      <c r="C2" s="665"/>
      <c r="D2" s="667"/>
      <c r="E2" s="666" t="s">
        <v>9</v>
      </c>
      <c r="F2" s="665"/>
      <c r="G2" s="668"/>
      <c r="H2" s="666" t="s">
        <v>4</v>
      </c>
      <c r="I2" s="665"/>
      <c r="J2" s="667"/>
      <c r="K2" s="666" t="s">
        <v>2</v>
      </c>
      <c r="L2" s="665"/>
      <c r="M2" s="668"/>
      <c r="N2" s="666" t="s">
        <v>0</v>
      </c>
      <c r="O2" s="665"/>
      <c r="P2" s="667"/>
      <c r="Q2" s="666" t="s">
        <v>14</v>
      </c>
      <c r="R2" s="665"/>
      <c r="S2" s="668"/>
      <c r="T2" s="666" t="s">
        <v>15</v>
      </c>
      <c r="U2" s="665"/>
      <c r="V2" s="667"/>
      <c r="W2" s="666" t="s">
        <v>1</v>
      </c>
      <c r="X2" s="665"/>
      <c r="Y2" s="668"/>
      <c r="Z2" s="666" t="s">
        <v>3</v>
      </c>
      <c r="AA2" s="665"/>
      <c r="AB2" s="667"/>
      <c r="AC2" s="666" t="s">
        <v>8</v>
      </c>
      <c r="AD2" s="665"/>
      <c r="AE2" s="668"/>
      <c r="AF2" s="666" t="s">
        <v>5</v>
      </c>
      <c r="AG2" s="665"/>
      <c r="AH2" s="667"/>
      <c r="AI2" s="664" t="s">
        <v>6</v>
      </c>
      <c r="AJ2" s="665"/>
      <c r="AK2" s="668"/>
      <c r="AL2" s="669" t="s">
        <v>12</v>
      </c>
      <c r="AM2" s="665"/>
      <c r="AN2" s="667"/>
      <c r="AO2" s="669" t="s">
        <v>7</v>
      </c>
      <c r="AP2" s="665"/>
      <c r="AQ2" s="668"/>
      <c r="AR2" s="669" t="s">
        <v>10</v>
      </c>
      <c r="AS2" s="665"/>
      <c r="AT2" s="667"/>
      <c r="AU2" s="664" t="s">
        <v>13</v>
      </c>
      <c r="AV2" s="665"/>
      <c r="AW2" s="665"/>
      <c r="AX2" s="662" t="s">
        <v>79</v>
      </c>
      <c r="AY2" s="663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</row>
    <row r="3" spans="1:80" ht="13.5" thickBot="1">
      <c r="A3" s="671"/>
      <c r="B3" s="49" t="s">
        <v>21</v>
      </c>
      <c r="C3" s="50" t="s">
        <v>22</v>
      </c>
      <c r="D3" s="51" t="s">
        <v>53</v>
      </c>
      <c r="E3" s="52" t="s">
        <v>21</v>
      </c>
      <c r="F3" s="53" t="s">
        <v>22</v>
      </c>
      <c r="G3" s="54" t="s">
        <v>53</v>
      </c>
      <c r="H3" s="49" t="s">
        <v>21</v>
      </c>
      <c r="I3" s="50" t="s">
        <v>22</v>
      </c>
      <c r="J3" s="51" t="s">
        <v>53</v>
      </c>
      <c r="K3" s="52" t="s">
        <v>21</v>
      </c>
      <c r="L3" s="53" t="s">
        <v>22</v>
      </c>
      <c r="M3" s="54" t="s">
        <v>53</v>
      </c>
      <c r="N3" s="49" t="s">
        <v>21</v>
      </c>
      <c r="O3" s="50" t="s">
        <v>22</v>
      </c>
      <c r="P3" s="51" t="s">
        <v>53</v>
      </c>
      <c r="Q3" s="52" t="s">
        <v>21</v>
      </c>
      <c r="R3" s="53" t="s">
        <v>22</v>
      </c>
      <c r="S3" s="54" t="s">
        <v>53</v>
      </c>
      <c r="T3" s="49" t="s">
        <v>21</v>
      </c>
      <c r="U3" s="50" t="s">
        <v>22</v>
      </c>
      <c r="V3" s="51" t="s">
        <v>53</v>
      </c>
      <c r="W3" s="52" t="s">
        <v>21</v>
      </c>
      <c r="X3" s="53" t="s">
        <v>22</v>
      </c>
      <c r="Y3" s="54" t="s">
        <v>53</v>
      </c>
      <c r="Z3" s="49" t="s">
        <v>21</v>
      </c>
      <c r="AA3" s="50" t="s">
        <v>22</v>
      </c>
      <c r="AB3" s="51" t="s">
        <v>53</v>
      </c>
      <c r="AC3" s="52" t="s">
        <v>21</v>
      </c>
      <c r="AD3" s="53" t="s">
        <v>22</v>
      </c>
      <c r="AE3" s="54" t="s">
        <v>53</v>
      </c>
      <c r="AF3" s="49" t="s">
        <v>21</v>
      </c>
      <c r="AG3" s="50" t="s">
        <v>22</v>
      </c>
      <c r="AH3" s="51" t="s">
        <v>53</v>
      </c>
      <c r="AI3" s="52" t="s">
        <v>21</v>
      </c>
      <c r="AJ3" s="53" t="s">
        <v>22</v>
      </c>
      <c r="AK3" s="54" t="s">
        <v>53</v>
      </c>
      <c r="AL3" s="49" t="s">
        <v>21</v>
      </c>
      <c r="AM3" s="50" t="s">
        <v>22</v>
      </c>
      <c r="AN3" s="51" t="s">
        <v>53</v>
      </c>
      <c r="AO3" s="52" t="s">
        <v>21</v>
      </c>
      <c r="AP3" s="53" t="s">
        <v>22</v>
      </c>
      <c r="AQ3" s="54" t="s">
        <v>53</v>
      </c>
      <c r="AR3" s="49" t="s">
        <v>21</v>
      </c>
      <c r="AS3" s="50" t="s">
        <v>22</v>
      </c>
      <c r="AT3" s="51" t="s">
        <v>53</v>
      </c>
      <c r="AU3" s="55" t="s">
        <v>21</v>
      </c>
      <c r="AV3" s="53" t="s">
        <v>22</v>
      </c>
      <c r="AW3" s="54" t="s">
        <v>53</v>
      </c>
      <c r="AX3" s="195" t="s">
        <v>21</v>
      </c>
      <c r="AY3" s="196" t="s">
        <v>22</v>
      </c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</row>
    <row r="4" spans="1:80" ht="12.75">
      <c r="A4" s="14" t="s">
        <v>23</v>
      </c>
      <c r="B4" s="205"/>
      <c r="C4" s="206"/>
      <c r="D4" s="207"/>
      <c r="E4" s="208"/>
      <c r="F4" s="209"/>
      <c r="G4" s="210"/>
      <c r="H4" s="205"/>
      <c r="I4" s="206"/>
      <c r="J4" s="207"/>
      <c r="K4" s="208"/>
      <c r="L4" s="209"/>
      <c r="M4" s="210"/>
      <c r="N4" s="205"/>
      <c r="O4" s="206"/>
      <c r="P4" s="207"/>
      <c r="Q4" s="208"/>
      <c r="R4" s="209"/>
      <c r="S4" s="210"/>
      <c r="T4" s="205"/>
      <c r="U4" s="206"/>
      <c r="V4" s="207"/>
      <c r="W4" s="208"/>
      <c r="X4" s="209"/>
      <c r="Y4" s="210"/>
      <c r="Z4" s="205"/>
      <c r="AA4" s="206"/>
      <c r="AB4" s="207"/>
      <c r="AC4" s="208"/>
      <c r="AD4" s="209"/>
      <c r="AE4" s="210"/>
      <c r="AF4" s="205"/>
      <c r="AG4" s="206"/>
      <c r="AH4" s="207"/>
      <c r="AI4" s="208"/>
      <c r="AJ4" s="209"/>
      <c r="AK4" s="210"/>
      <c r="AL4" s="205"/>
      <c r="AM4" s="206"/>
      <c r="AN4" s="207"/>
      <c r="AO4" s="208"/>
      <c r="AP4" s="209"/>
      <c r="AQ4" s="210"/>
      <c r="AR4" s="205"/>
      <c r="AS4" s="206"/>
      <c r="AT4" s="207"/>
      <c r="AU4" s="211"/>
      <c r="AV4" s="209"/>
      <c r="AW4" s="210"/>
      <c r="AX4" s="212"/>
      <c r="AY4" s="213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</row>
    <row r="5" spans="1:80" ht="12.75">
      <c r="A5" s="22" t="s">
        <v>24</v>
      </c>
      <c r="B5" s="17">
        <f ca="1">บช.น.!$B$7</f>
        <v>0</v>
      </c>
      <c r="C5" s="18">
        <f ca="1">บช.น.!$C$7</f>
        <v>0</v>
      </c>
      <c r="D5" s="57">
        <f ca="1">B5*3</f>
        <v>0</v>
      </c>
      <c r="E5" s="19">
        <f ca="1">ภ.1!$B$7</f>
        <v>0</v>
      </c>
      <c r="F5" s="20">
        <f ca="1">ภ.1!$C$7</f>
        <v>0</v>
      </c>
      <c r="G5" s="56">
        <f ca="1">E5*3</f>
        <v>0</v>
      </c>
      <c r="H5" s="17">
        <f ca="1">ภ.2!$B$7</f>
        <v>0</v>
      </c>
      <c r="I5" s="18">
        <f ca="1">ภ.2!$C$7</f>
        <v>0</v>
      </c>
      <c r="J5" s="57">
        <f ca="1">H5*3</f>
        <v>0</v>
      </c>
      <c r="K5" s="19">
        <f ca="1">ภ.3!$B$7</f>
        <v>0</v>
      </c>
      <c r="L5" s="20">
        <f ca="1">ภ.3!$C$7</f>
        <v>0</v>
      </c>
      <c r="M5" s="56">
        <f ca="1">K5*3</f>
        <v>0</v>
      </c>
      <c r="N5" s="17">
        <f ca="1">ภ.4!$B$7</f>
        <v>0</v>
      </c>
      <c r="O5" s="18">
        <f ca="1">ภ.4!$C$7</f>
        <v>0</v>
      </c>
      <c r="P5" s="57">
        <f ca="1">N5*3</f>
        <v>0</v>
      </c>
      <c r="Q5" s="19">
        <f ca="1">ภ.5!$B$7</f>
        <v>0</v>
      </c>
      <c r="R5" s="20">
        <f ca="1">ภ.5!$C$7</f>
        <v>0</v>
      </c>
      <c r="S5" s="56">
        <f ca="1">Q5*3</f>
        <v>0</v>
      </c>
      <c r="T5" s="17">
        <f ca="1">ภ.6!$B$7</f>
        <v>1</v>
      </c>
      <c r="U5" s="18">
        <f ca="1">ภ.6!$C$7</f>
        <v>6</v>
      </c>
      <c r="V5" s="57">
        <f ca="1">T5*3</f>
        <v>3</v>
      </c>
      <c r="W5" s="19">
        <f ca="1">ภ.7!$B$7</f>
        <v>2</v>
      </c>
      <c r="X5" s="20">
        <f ca="1">ภ.7!$C$7</f>
        <v>45</v>
      </c>
      <c r="Y5" s="56">
        <f ca="1">W5*3</f>
        <v>6</v>
      </c>
      <c r="Z5" s="17">
        <f ca="1">ภ.8!$B$7</f>
        <v>0</v>
      </c>
      <c r="AA5" s="18">
        <f ca="1">ภ.8!$C$7</f>
        <v>0</v>
      </c>
      <c r="AB5" s="57">
        <f ca="1">Z5*3</f>
        <v>0</v>
      </c>
      <c r="AC5" s="19">
        <f ca="1">ภ.9!$B$7</f>
        <v>0</v>
      </c>
      <c r="AD5" s="20">
        <f ca="1">ภ.9!$C$7</f>
        <v>0</v>
      </c>
      <c r="AE5" s="56">
        <f ca="1">AC5*3</f>
        <v>0</v>
      </c>
      <c r="AF5" s="17">
        <f ca="1">บช.ก.!$C$7</f>
        <v>0</v>
      </c>
      <c r="AG5" s="18">
        <f ca="1">บช.ก.!$D$7</f>
        <v>0</v>
      </c>
      <c r="AH5" s="57">
        <f ca="1">AF5*3</f>
        <v>0</v>
      </c>
      <c r="AI5" s="19">
        <f ca="1">บช.สอท.!$B$7</f>
        <v>0</v>
      </c>
      <c r="AJ5" s="20">
        <f ca="1">บช.สอท.!$C$7</f>
        <v>0</v>
      </c>
      <c r="AK5" s="56">
        <f ca="1">AI5*3</f>
        <v>0</v>
      </c>
      <c r="AL5" s="17">
        <f ca="1">บช.ปส.!$B$7</f>
        <v>0</v>
      </c>
      <c r="AM5" s="18">
        <f ca="1">บช.ปส.!$C$7</f>
        <v>0</v>
      </c>
      <c r="AN5" s="57">
        <f ca="1">AL5*3</f>
        <v>0</v>
      </c>
      <c r="AO5" s="19">
        <f ca="1">สตม.!$B$7</f>
        <v>0</v>
      </c>
      <c r="AP5" s="20">
        <f ca="1">สตม.!$C$7</f>
        <v>0</v>
      </c>
      <c r="AQ5" s="56">
        <f ca="1">AO5*3</f>
        <v>0</v>
      </c>
      <c r="AR5" s="17">
        <f ca="1">บช.ทท.!$B$7</f>
        <v>0</v>
      </c>
      <c r="AS5" s="18">
        <f ca="1">บช.ทท.!$C$7</f>
        <v>0</v>
      </c>
      <c r="AT5" s="57">
        <f ca="1">AR5*3</f>
        <v>0</v>
      </c>
      <c r="AU5" s="56">
        <f ca="1">บช.ตชด.!$B$7</f>
        <v>0</v>
      </c>
      <c r="AV5" s="20">
        <f ca="1">บช.ตชด.!$C$7</f>
        <v>0</v>
      </c>
      <c r="AW5" s="56">
        <f ca="1">AU5*3</f>
        <v>0</v>
      </c>
      <c r="AX5" s="197">
        <f ca="1">SUM(B5,E5,H5,K5,N5,Q5,T5,W5,Z5,AC5,AF5,AI5,AL5,AO5,AR5,AU5)</f>
        <v>3</v>
      </c>
      <c r="AY5" s="227">
        <f ca="1">SUM(C5,F5,I5,L5,O5,R5,U5,X5,AA5,AD5,AG5,AJ5,AM5,AP5,AS5,AV5)</f>
        <v>51</v>
      </c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</row>
    <row r="6" spans="1:80" ht="12.75">
      <c r="A6" s="22" t="s">
        <v>25</v>
      </c>
      <c r="B6" s="17">
        <f>บช.น.!$B$8</f>
        <v>0</v>
      </c>
      <c r="C6" s="18">
        <f>บช.น.!$C$8</f>
        <v>0</v>
      </c>
      <c r="D6" s="58"/>
      <c r="E6" s="19">
        <f>ภ.1!$B$8</f>
        <v>0</v>
      </c>
      <c r="F6" s="20">
        <f>ภ.1!$C$8</f>
        <v>0</v>
      </c>
      <c r="G6" s="59"/>
      <c r="H6" s="17">
        <f>ภ.2!$B$8</f>
        <v>0</v>
      </c>
      <c r="I6" s="18">
        <f>ภ.2!$C$8</f>
        <v>0</v>
      </c>
      <c r="J6" s="58"/>
      <c r="K6" s="19">
        <f>ภ.3!$B$8</f>
        <v>0</v>
      </c>
      <c r="L6" s="20">
        <f>ภ.3!$C$8</f>
        <v>0</v>
      </c>
      <c r="M6" s="59"/>
      <c r="N6" s="17">
        <f>ภ.4!$B$8</f>
        <v>0</v>
      </c>
      <c r="O6" s="18">
        <f>ภ.4!$C$8</f>
        <v>0</v>
      </c>
      <c r="P6" s="58"/>
      <c r="Q6" s="19">
        <f>ภ.5!$B$8</f>
        <v>0</v>
      </c>
      <c r="R6" s="20">
        <f>ภ.5!$C$8</f>
        <v>0</v>
      </c>
      <c r="S6" s="59"/>
      <c r="T6" s="17">
        <f>ภ.6!$B$8</f>
        <v>0</v>
      </c>
      <c r="U6" s="18">
        <f>ภ.6!$C$8</f>
        <v>0</v>
      </c>
      <c r="V6" s="58"/>
      <c r="W6" s="19">
        <f>ภ.7!$B$8</f>
        <v>0</v>
      </c>
      <c r="X6" s="20">
        <f>ภ.7!$C$8</f>
        <v>0</v>
      </c>
      <c r="Y6" s="59"/>
      <c r="Z6" s="17">
        <f>ภ.8!$B$8</f>
        <v>0</v>
      </c>
      <c r="AA6" s="18">
        <f>ภ.8!$C$8</f>
        <v>0</v>
      </c>
      <c r="AB6" s="58"/>
      <c r="AC6" s="19">
        <f>ภ.9!$B$8</f>
        <v>0</v>
      </c>
      <c r="AD6" s="20">
        <f>ภ.9!$C$8</f>
        <v>0</v>
      </c>
      <c r="AE6" s="59"/>
      <c r="AF6" s="17">
        <f>บช.ก.!$C$8</f>
        <v>0</v>
      </c>
      <c r="AG6" s="18">
        <f>บช.ก.!$D$8</f>
        <v>0</v>
      </c>
      <c r="AH6" s="58"/>
      <c r="AI6" s="19">
        <f>บช.สอท.!$B$8</f>
        <v>0</v>
      </c>
      <c r="AJ6" s="20">
        <f>บช.สอท.!$C$8</f>
        <v>0</v>
      </c>
      <c r="AK6" s="59"/>
      <c r="AL6" s="17">
        <f>บช.ปส.!$B$8</f>
        <v>0</v>
      </c>
      <c r="AM6" s="18">
        <f>บช.ปส.!$C$8</f>
        <v>0</v>
      </c>
      <c r="AN6" s="58"/>
      <c r="AO6" s="19">
        <f>สตม.!$B$8</f>
        <v>0</v>
      </c>
      <c r="AP6" s="20">
        <f>สตม.!$C$8</f>
        <v>0</v>
      </c>
      <c r="AQ6" s="59"/>
      <c r="AR6" s="17">
        <f>บช.ทท.!$B$8</f>
        <v>0</v>
      </c>
      <c r="AS6" s="18">
        <f>บช.ทท.!$C$8</f>
        <v>0</v>
      </c>
      <c r="AT6" s="58"/>
      <c r="AU6" s="56">
        <f>บช.ตชด.!$B$8</f>
        <v>0</v>
      </c>
      <c r="AV6" s="20">
        <f>บช.ตชด.!$C$8</f>
        <v>0</v>
      </c>
      <c r="AW6" s="59"/>
      <c r="AX6" s="197">
        <f t="shared" ref="AX6:AX12" si="0">SUM(B6,E6,H6,K6,N6,Q6,T6,W6,Z6,AC6,AF6,AI6,AL6,AO6,AR6,AU6)</f>
        <v>0</v>
      </c>
      <c r="AY6" s="227">
        <f t="shared" ref="AY6:AY12" si="1">SUM(C6,F6,I6,L6,O6,R6,U6,X6,AA6,AD6,AG6,AJ6,AM6,AP6,AS6,AV6)</f>
        <v>0</v>
      </c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</row>
    <row r="7" spans="1:80" ht="12.75">
      <c r="A7" s="22" t="s">
        <v>26</v>
      </c>
      <c r="B7" s="17">
        <f ca="1">บช.น.!$B$9</f>
        <v>0</v>
      </c>
      <c r="C7" s="18">
        <f ca="1">บช.น.!$C$9</f>
        <v>0</v>
      </c>
      <c r="D7" s="57">
        <f ca="1">B7*2</f>
        <v>0</v>
      </c>
      <c r="E7" s="19">
        <f ca="1">ภ.1!$B$9</f>
        <v>0</v>
      </c>
      <c r="F7" s="20">
        <f ca="1">ภ.1!$C$9</f>
        <v>0</v>
      </c>
      <c r="G7" s="56">
        <f ca="1">E7*2</f>
        <v>0</v>
      </c>
      <c r="H7" s="17">
        <f ca="1">ภ.2!$B$9</f>
        <v>0</v>
      </c>
      <c r="I7" s="18">
        <f ca="1">ภ.2!$C$9</f>
        <v>0</v>
      </c>
      <c r="J7" s="57">
        <f ca="1">H7*2</f>
        <v>0</v>
      </c>
      <c r="K7" s="19">
        <f ca="1">ภ.3!$B$9</f>
        <v>0</v>
      </c>
      <c r="L7" s="20">
        <f ca="1">ภ.3!$C$9</f>
        <v>0</v>
      </c>
      <c r="M7" s="56">
        <f ca="1">K7*2</f>
        <v>0</v>
      </c>
      <c r="N7" s="17">
        <f ca="1">ภ.4!$B$9</f>
        <v>27</v>
      </c>
      <c r="O7" s="18">
        <f ca="1">ภ.4!$C$9</f>
        <v>27</v>
      </c>
      <c r="P7" s="57">
        <f ca="1">N7*2</f>
        <v>54</v>
      </c>
      <c r="Q7" s="19">
        <f ca="1">ภ.5!$B$9</f>
        <v>0</v>
      </c>
      <c r="R7" s="20">
        <f ca="1">ภ.5!$C$9</f>
        <v>0</v>
      </c>
      <c r="S7" s="56">
        <f ca="1">Q7*2</f>
        <v>0</v>
      </c>
      <c r="T7" s="17">
        <f ca="1">ภ.6!$B$9</f>
        <v>0</v>
      </c>
      <c r="U7" s="18">
        <f ca="1">ภ.6!$C$9</f>
        <v>0</v>
      </c>
      <c r="V7" s="57">
        <f ca="1">T7*2</f>
        <v>0</v>
      </c>
      <c r="W7" s="19">
        <f ca="1">ภ.7!$B$9</f>
        <v>1</v>
      </c>
      <c r="X7" s="20">
        <f ca="1">ภ.7!$C$9</f>
        <v>1</v>
      </c>
      <c r="Y7" s="56">
        <f ca="1">W7*2</f>
        <v>2</v>
      </c>
      <c r="Z7" s="17">
        <f ca="1">ภ.8!$B$9</f>
        <v>0</v>
      </c>
      <c r="AA7" s="18">
        <f ca="1">ภ.8!$C$9</f>
        <v>0</v>
      </c>
      <c r="AB7" s="57">
        <f ca="1">Z7*2</f>
        <v>0</v>
      </c>
      <c r="AC7" s="19">
        <f ca="1">ภ.9!$B$9</f>
        <v>2</v>
      </c>
      <c r="AD7" s="20">
        <f ca="1">ภ.9!$C$9</f>
        <v>2</v>
      </c>
      <c r="AE7" s="56">
        <f ca="1">AC7*2</f>
        <v>4</v>
      </c>
      <c r="AF7" s="17">
        <f ca="1">บช.ก.!$C$9</f>
        <v>0</v>
      </c>
      <c r="AG7" s="18">
        <f ca="1">บช.ก.!$D$9</f>
        <v>0</v>
      </c>
      <c r="AH7" s="57">
        <f ca="1">AF7*2</f>
        <v>0</v>
      </c>
      <c r="AI7" s="19">
        <f ca="1">บช.สอท.!$B$9</f>
        <v>2</v>
      </c>
      <c r="AJ7" s="20">
        <f ca="1">บช.สอท.!$C$9</f>
        <v>2</v>
      </c>
      <c r="AK7" s="56">
        <f ca="1">AI7*2</f>
        <v>4</v>
      </c>
      <c r="AL7" s="17">
        <f ca="1">บช.ปส.!$B$9</f>
        <v>0</v>
      </c>
      <c r="AM7" s="18">
        <f ca="1">บช.ปส.!$C$9</f>
        <v>0</v>
      </c>
      <c r="AN7" s="57">
        <f ca="1">AL7*2</f>
        <v>0</v>
      </c>
      <c r="AO7" s="19">
        <f ca="1">สตม.!$B$9</f>
        <v>0</v>
      </c>
      <c r="AP7" s="20">
        <f ca="1">สตม.!$C$9</f>
        <v>0</v>
      </c>
      <c r="AQ7" s="56">
        <f ca="1">AO7*2</f>
        <v>0</v>
      </c>
      <c r="AR7" s="17">
        <f ca="1">บช.ทท.!$B$9</f>
        <v>1</v>
      </c>
      <c r="AS7" s="18">
        <f ca="1">บช.ทท.!$C$9</f>
        <v>1</v>
      </c>
      <c r="AT7" s="57">
        <f ca="1">AR7*2</f>
        <v>2</v>
      </c>
      <c r="AU7" s="56">
        <f ca="1">บช.ตชด.!$B$9</f>
        <v>0</v>
      </c>
      <c r="AV7" s="20">
        <f ca="1">บช.ตชด.!$C$9</f>
        <v>0</v>
      </c>
      <c r="AW7" s="56">
        <f ca="1">AU7*2</f>
        <v>0</v>
      </c>
      <c r="AX7" s="197">
        <f t="shared" ca="1" si="0"/>
        <v>33</v>
      </c>
      <c r="AY7" s="227">
        <f t="shared" ca="1" si="1"/>
        <v>33</v>
      </c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</row>
    <row r="8" spans="1:80" ht="12.75">
      <c r="A8" s="22" t="s">
        <v>27</v>
      </c>
      <c r="B8" s="17">
        <f ca="1">บช.น.!$B$10</f>
        <v>2</v>
      </c>
      <c r="C8" s="18">
        <f ca="1">บช.น.!$C$10</f>
        <v>2</v>
      </c>
      <c r="D8" s="57">
        <f ca="1">B8*0.5</f>
        <v>1</v>
      </c>
      <c r="E8" s="19">
        <f ca="1">ภ.1!$B$10</f>
        <v>86</v>
      </c>
      <c r="F8" s="20">
        <f ca="1">ภ.1!$C$10</f>
        <v>87</v>
      </c>
      <c r="G8" s="56">
        <f ca="1">E8*0.5</f>
        <v>43</v>
      </c>
      <c r="H8" s="17">
        <f ca="1">ภ.2!$B$10</f>
        <v>208</v>
      </c>
      <c r="I8" s="18">
        <f ca="1">ภ.2!$C$10</f>
        <v>208</v>
      </c>
      <c r="J8" s="57">
        <f ca="1">H8*0.5</f>
        <v>104</v>
      </c>
      <c r="K8" s="19">
        <f ca="1">ภ.3!$B$10</f>
        <v>76</v>
      </c>
      <c r="L8" s="20">
        <f ca="1">ภ.3!$C$10</f>
        <v>76</v>
      </c>
      <c r="M8" s="56">
        <f ca="1">K8*0.5</f>
        <v>38</v>
      </c>
      <c r="N8" s="17">
        <f ca="1">ภ.4!$B$10</f>
        <v>108</v>
      </c>
      <c r="O8" s="18">
        <f ca="1">ภ.4!$C$10</f>
        <v>108</v>
      </c>
      <c r="P8" s="57">
        <f ca="1">N8*0.5</f>
        <v>54</v>
      </c>
      <c r="Q8" s="19">
        <f ca="1">ภ.5!$B$10</f>
        <v>3</v>
      </c>
      <c r="R8" s="20">
        <f ca="1">ภ.5!$C$10</f>
        <v>3</v>
      </c>
      <c r="S8" s="56">
        <f ca="1">Q8*0.5</f>
        <v>1.5</v>
      </c>
      <c r="T8" s="17">
        <f ca="1">ภ.6!$B$10</f>
        <v>3</v>
      </c>
      <c r="U8" s="18">
        <f ca="1">ภ.6!$C$10</f>
        <v>3</v>
      </c>
      <c r="V8" s="57">
        <f ca="1">T8*0.5</f>
        <v>1.5</v>
      </c>
      <c r="W8" s="19">
        <f ca="1">ภ.7!$B$10</f>
        <v>53</v>
      </c>
      <c r="X8" s="20">
        <f ca="1">ภ.7!$C$10</f>
        <v>53</v>
      </c>
      <c r="Y8" s="56">
        <f ca="1">W8*0.5</f>
        <v>26.5</v>
      </c>
      <c r="Z8" s="17">
        <f ca="1">ภ.8!$B$10</f>
        <v>20</v>
      </c>
      <c r="AA8" s="18">
        <f ca="1">ภ.8!$C$10</f>
        <v>19</v>
      </c>
      <c r="AB8" s="57">
        <f ca="1">Z8*0.5</f>
        <v>10</v>
      </c>
      <c r="AC8" s="19">
        <f ca="1">ภ.9!$B$10</f>
        <v>3</v>
      </c>
      <c r="AD8" s="20">
        <f ca="1">ภ.9!$C$10</f>
        <v>3</v>
      </c>
      <c r="AE8" s="56">
        <f ca="1">AC8*0.5</f>
        <v>1.5</v>
      </c>
      <c r="AF8" s="17">
        <f ca="1">บช.ก.!$C$10</f>
        <v>3</v>
      </c>
      <c r="AG8" s="18">
        <f ca="1">บช.ก.!$D$10</f>
        <v>6</v>
      </c>
      <c r="AH8" s="57">
        <f ca="1">AF8*0.5</f>
        <v>1.5</v>
      </c>
      <c r="AI8" s="19">
        <f ca="1">บช.สอท.!$B$10</f>
        <v>17</v>
      </c>
      <c r="AJ8" s="20">
        <f ca="1">บช.สอท.!$C$10</f>
        <v>17</v>
      </c>
      <c r="AK8" s="56">
        <f ca="1">AI8*0.5</f>
        <v>8.5</v>
      </c>
      <c r="AL8" s="17">
        <f ca="1">บช.ปส.!$B$10</f>
        <v>0</v>
      </c>
      <c r="AM8" s="18">
        <f ca="1">บช.ปส.!$C$10</f>
        <v>0</v>
      </c>
      <c r="AN8" s="57">
        <f ca="1">AL8*0.5</f>
        <v>0</v>
      </c>
      <c r="AO8" s="19">
        <f ca="1">สตม.!$B$10</f>
        <v>0</v>
      </c>
      <c r="AP8" s="20">
        <f ca="1">สตม.!$C$10</f>
        <v>0</v>
      </c>
      <c r="AQ8" s="56">
        <f ca="1">AO8*0.5</f>
        <v>0</v>
      </c>
      <c r="AR8" s="17">
        <f ca="1">บช.ทท.!$B$10</f>
        <v>0</v>
      </c>
      <c r="AS8" s="18">
        <f ca="1">บช.ทท.!$C$10</f>
        <v>0</v>
      </c>
      <c r="AT8" s="57">
        <f ca="1">AR8*0.5</f>
        <v>0</v>
      </c>
      <c r="AU8" s="56">
        <f ca="1">บช.ตชด.!$B$10</f>
        <v>0</v>
      </c>
      <c r="AV8" s="20">
        <f ca="1">บช.ตชด.!$C$10</f>
        <v>0</v>
      </c>
      <c r="AW8" s="56">
        <f ca="1">AU8*0.5</f>
        <v>0</v>
      </c>
      <c r="AX8" s="197">
        <f t="shared" ca="1" si="0"/>
        <v>582</v>
      </c>
      <c r="AY8" s="227">
        <f t="shared" ca="1" si="1"/>
        <v>585</v>
      </c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</row>
    <row r="9" spans="1:80" ht="12.75">
      <c r="A9" s="22" t="s">
        <v>28</v>
      </c>
      <c r="B9" s="17">
        <f>บช.น.!$B$11</f>
        <v>0</v>
      </c>
      <c r="C9" s="18">
        <f>บช.น.!$C$11</f>
        <v>0</v>
      </c>
      <c r="D9" s="58"/>
      <c r="E9" s="19">
        <f>ภ.1!$B$11</f>
        <v>0</v>
      </c>
      <c r="F9" s="20">
        <f>ภ.1!$C$11</f>
        <v>0</v>
      </c>
      <c r="G9" s="59"/>
      <c r="H9" s="17">
        <f>ภ.2!$B$11</f>
        <v>0</v>
      </c>
      <c r="I9" s="18">
        <f>ภ.2!$C$11</f>
        <v>0</v>
      </c>
      <c r="J9" s="58"/>
      <c r="K9" s="19">
        <f>ภ.3!$B$11</f>
        <v>0</v>
      </c>
      <c r="L9" s="20">
        <f>ภ.3!$C$11</f>
        <v>0</v>
      </c>
      <c r="M9" s="59"/>
      <c r="N9" s="17">
        <f>ภ.4!$B$11</f>
        <v>0</v>
      </c>
      <c r="O9" s="18">
        <f>ภ.4!$C$11</f>
        <v>0</v>
      </c>
      <c r="P9" s="58"/>
      <c r="Q9" s="19">
        <f>ภ.5!$B$11</f>
        <v>0</v>
      </c>
      <c r="R9" s="20">
        <f>ภ.5!$C$11</f>
        <v>0</v>
      </c>
      <c r="S9" s="59"/>
      <c r="T9" s="17">
        <f>ภ.6!$B$11</f>
        <v>0</v>
      </c>
      <c r="U9" s="18">
        <f>ภ.6!$C$11</f>
        <v>0</v>
      </c>
      <c r="V9" s="58"/>
      <c r="W9" s="19">
        <f>ภ.7!$B$11</f>
        <v>0</v>
      </c>
      <c r="X9" s="20">
        <f>ภ.7!$C$11</f>
        <v>0</v>
      </c>
      <c r="Y9" s="59"/>
      <c r="Z9" s="17">
        <f>ภ.8!$B$11</f>
        <v>0</v>
      </c>
      <c r="AA9" s="18">
        <f>ภ.8!$C$11</f>
        <v>0</v>
      </c>
      <c r="AB9" s="58"/>
      <c r="AC9" s="19">
        <f>ภ.9!$B$11</f>
        <v>0</v>
      </c>
      <c r="AD9" s="20">
        <f>ภ.9!$C$11</f>
        <v>0</v>
      </c>
      <c r="AE9" s="59"/>
      <c r="AF9" s="17">
        <f>บช.ก.!$C$11</f>
        <v>0</v>
      </c>
      <c r="AG9" s="18">
        <f>บช.ก.!$D$11</f>
        <v>0</v>
      </c>
      <c r="AH9" s="58"/>
      <c r="AI9" s="19">
        <f>บช.สอท.!$B$11</f>
        <v>0</v>
      </c>
      <c r="AJ9" s="20">
        <f>บช.สอท.!$C$11</f>
        <v>0</v>
      </c>
      <c r="AK9" s="59"/>
      <c r="AL9" s="17">
        <f>บช.ปส.!$B$11</f>
        <v>0</v>
      </c>
      <c r="AM9" s="18">
        <f>บช.ปส.!$C$11</f>
        <v>0</v>
      </c>
      <c r="AN9" s="58"/>
      <c r="AO9" s="19">
        <f>สตม.!$B$11</f>
        <v>0</v>
      </c>
      <c r="AP9" s="20">
        <f>สตม.!$C$11</f>
        <v>0</v>
      </c>
      <c r="AQ9" s="59"/>
      <c r="AR9" s="17">
        <f>บช.ทท.!$B$11</f>
        <v>0</v>
      </c>
      <c r="AS9" s="18">
        <f>บช.ทท.!$C$11</f>
        <v>0</v>
      </c>
      <c r="AT9" s="58"/>
      <c r="AU9" s="56">
        <f>บช.ตชด.!$B$11</f>
        <v>0</v>
      </c>
      <c r="AV9" s="20">
        <f>บช.ตชด.!$C$11</f>
        <v>0</v>
      </c>
      <c r="AW9" s="59"/>
      <c r="AX9" s="197">
        <f t="shared" si="0"/>
        <v>0</v>
      </c>
      <c r="AY9" s="227">
        <f t="shared" si="1"/>
        <v>0</v>
      </c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</row>
    <row r="10" spans="1:80" ht="12.75">
      <c r="A10" s="22" t="s">
        <v>29</v>
      </c>
      <c r="B10" s="17">
        <f ca="1">บช.น.!$B$12</f>
        <v>2</v>
      </c>
      <c r="C10" s="18">
        <f ca="1">บช.น.!$C$12</f>
        <v>8</v>
      </c>
      <c r="D10" s="57">
        <f ca="1">B10*2</f>
        <v>4</v>
      </c>
      <c r="E10" s="19">
        <f ca="1">ภ.1!$B$12</f>
        <v>0</v>
      </c>
      <c r="F10" s="20">
        <f ca="1">ภ.1!$C$12</f>
        <v>0</v>
      </c>
      <c r="G10" s="56">
        <f ca="1">E10*2</f>
        <v>0</v>
      </c>
      <c r="H10" s="17">
        <f ca="1">ภ.2!$B$12</f>
        <v>2</v>
      </c>
      <c r="I10" s="18">
        <f ca="1">ภ.2!$C$12</f>
        <v>6</v>
      </c>
      <c r="J10" s="57">
        <f ca="1">H10*2</f>
        <v>4</v>
      </c>
      <c r="K10" s="19">
        <f ca="1">ภ.3!$B$12</f>
        <v>0</v>
      </c>
      <c r="L10" s="20">
        <f ca="1">ภ.3!$C$12</f>
        <v>0</v>
      </c>
      <c r="M10" s="56">
        <f ca="1">K10*2</f>
        <v>0</v>
      </c>
      <c r="N10" s="17">
        <f ca="1">ภ.4!$B$12</f>
        <v>2</v>
      </c>
      <c r="O10" s="18">
        <f ca="1">ภ.4!$C$12</f>
        <v>2</v>
      </c>
      <c r="P10" s="57">
        <f ca="1">N10*2</f>
        <v>4</v>
      </c>
      <c r="Q10" s="19">
        <f ca="1">ภ.5!$B$12</f>
        <v>0</v>
      </c>
      <c r="R10" s="20">
        <f ca="1">ภ.5!$C$12</f>
        <v>0</v>
      </c>
      <c r="S10" s="56">
        <f ca="1">Q10*2</f>
        <v>0</v>
      </c>
      <c r="T10" s="17">
        <f ca="1">ภ.6!$B$12</f>
        <v>0</v>
      </c>
      <c r="U10" s="18">
        <f ca="1">ภ.6!$C$12</f>
        <v>0</v>
      </c>
      <c r="V10" s="57">
        <f ca="1">T10*2</f>
        <v>0</v>
      </c>
      <c r="W10" s="19">
        <f ca="1">ภ.7!$B$12</f>
        <v>0</v>
      </c>
      <c r="X10" s="20">
        <f ca="1">ภ.7!$C$12</f>
        <v>0</v>
      </c>
      <c r="Y10" s="56">
        <f ca="1">W10*2</f>
        <v>0</v>
      </c>
      <c r="Z10" s="17">
        <f ca="1">ภ.8!$B$12</f>
        <v>0</v>
      </c>
      <c r="AA10" s="18">
        <f ca="1">ภ.8!$C$12</f>
        <v>0</v>
      </c>
      <c r="AB10" s="57">
        <f ca="1">Z10*2</f>
        <v>0</v>
      </c>
      <c r="AC10" s="19">
        <f ca="1">ภ.9!$B$12</f>
        <v>4</v>
      </c>
      <c r="AD10" s="20">
        <f ca="1">ภ.9!$C$12</f>
        <v>5</v>
      </c>
      <c r="AE10" s="56">
        <f ca="1">AC10*2</f>
        <v>8</v>
      </c>
      <c r="AF10" s="17">
        <f ca="1">บช.ก.!$C$12</f>
        <v>0</v>
      </c>
      <c r="AG10" s="18">
        <f ca="1">บช.ก.!$D$12</f>
        <v>0</v>
      </c>
      <c r="AH10" s="57">
        <f ca="1">AF10*2</f>
        <v>0</v>
      </c>
      <c r="AI10" s="19">
        <f ca="1">บช.สอท.!$B$12</f>
        <v>6</v>
      </c>
      <c r="AJ10" s="20">
        <f ca="1">บช.สอท.!$C$12</f>
        <v>10</v>
      </c>
      <c r="AK10" s="56">
        <f ca="1">AI10*2</f>
        <v>12</v>
      </c>
      <c r="AL10" s="17">
        <f ca="1">บช.ปส.!$B$12</f>
        <v>1</v>
      </c>
      <c r="AM10" s="18">
        <f ca="1">บช.ปส.!$C$12</f>
        <v>2</v>
      </c>
      <c r="AN10" s="57">
        <f ca="1">AL10*2</f>
        <v>2</v>
      </c>
      <c r="AO10" s="19">
        <f ca="1">สตม.!$B$12</f>
        <v>2</v>
      </c>
      <c r="AP10" s="20">
        <f ca="1">สตม.!$C$12</f>
        <v>2</v>
      </c>
      <c r="AQ10" s="56">
        <f ca="1">AO10*2</f>
        <v>4</v>
      </c>
      <c r="AR10" s="17">
        <f ca="1">บช.ทท.!$B$12</f>
        <v>1</v>
      </c>
      <c r="AS10" s="18">
        <f ca="1">บช.ทท.!$C$12</f>
        <v>1</v>
      </c>
      <c r="AT10" s="57">
        <f ca="1">AR10*2</f>
        <v>2</v>
      </c>
      <c r="AU10" s="56">
        <f ca="1">บช.ตชด.!$B$12</f>
        <v>0</v>
      </c>
      <c r="AV10" s="20">
        <f ca="1">บช.ตชด.!$C$12</f>
        <v>0</v>
      </c>
      <c r="AW10" s="56">
        <f ca="1">AU10*2</f>
        <v>0</v>
      </c>
      <c r="AX10" s="197">
        <f t="shared" ca="1" si="0"/>
        <v>20</v>
      </c>
      <c r="AY10" s="227">
        <f t="shared" ca="1" si="1"/>
        <v>36</v>
      </c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</row>
    <row r="11" spans="1:80" ht="12.75">
      <c r="A11" s="22" t="s">
        <v>30</v>
      </c>
      <c r="B11" s="17">
        <f ca="1">บช.น.!$B$13</f>
        <v>38</v>
      </c>
      <c r="C11" s="18">
        <f ca="1">บช.น.!$C$13</f>
        <v>38</v>
      </c>
      <c r="D11" s="57">
        <f ca="1">B11*0.5</f>
        <v>19</v>
      </c>
      <c r="E11" s="19">
        <f ca="1">ภ.1!$B$13</f>
        <v>93</v>
      </c>
      <c r="F11" s="20">
        <f ca="1">ภ.1!$C$13</f>
        <v>99</v>
      </c>
      <c r="G11" s="56">
        <f ca="1">E11*0.5</f>
        <v>46.5</v>
      </c>
      <c r="H11" s="17">
        <f ca="1">ภ.2!$B$13</f>
        <v>18</v>
      </c>
      <c r="I11" s="18">
        <f ca="1">ภ.2!$C$13</f>
        <v>22</v>
      </c>
      <c r="J11" s="57">
        <f ca="1">H11*0.5</f>
        <v>9</v>
      </c>
      <c r="K11" s="19">
        <f ca="1">ภ.3!$B$13</f>
        <v>53</v>
      </c>
      <c r="L11" s="20">
        <f ca="1">ภ.3!$C$13</f>
        <v>53</v>
      </c>
      <c r="M11" s="56">
        <f ca="1">K11*0.5</f>
        <v>26.5</v>
      </c>
      <c r="N11" s="17">
        <f ca="1">ภ.4!$B$13</f>
        <v>49</v>
      </c>
      <c r="O11" s="18">
        <f ca="1">ภ.4!$C$13</f>
        <v>49</v>
      </c>
      <c r="P11" s="57">
        <f ca="1">N11*0.5</f>
        <v>24.5</v>
      </c>
      <c r="Q11" s="19">
        <f ca="1">ภ.5!$B$13</f>
        <v>2</v>
      </c>
      <c r="R11" s="20">
        <f ca="1">ภ.5!$C$13</f>
        <v>2</v>
      </c>
      <c r="S11" s="56">
        <f ca="1">Q11*0.5</f>
        <v>1</v>
      </c>
      <c r="T11" s="17">
        <f ca="1">ภ.6!$B$13</f>
        <v>4</v>
      </c>
      <c r="U11" s="18">
        <f ca="1">ภ.6!$C$13</f>
        <v>4</v>
      </c>
      <c r="V11" s="57">
        <f ca="1">T11*0.5</f>
        <v>2</v>
      </c>
      <c r="W11" s="19">
        <f ca="1">ภ.7!$B$13</f>
        <v>23</v>
      </c>
      <c r="X11" s="20">
        <f ca="1">ภ.7!$C$13</f>
        <v>23</v>
      </c>
      <c r="Y11" s="56">
        <f ca="1">W11*0.5</f>
        <v>11.5</v>
      </c>
      <c r="Z11" s="17">
        <f ca="1">ภ.8!$B$13</f>
        <v>3</v>
      </c>
      <c r="AA11" s="18">
        <f ca="1">ภ.8!$C$13</f>
        <v>3</v>
      </c>
      <c r="AB11" s="57">
        <f ca="1">Z11*0.5</f>
        <v>1.5</v>
      </c>
      <c r="AC11" s="19">
        <f ca="1">ภ.9!$B$13</f>
        <v>3</v>
      </c>
      <c r="AD11" s="20">
        <f ca="1">ภ.9!$C$13</f>
        <v>6</v>
      </c>
      <c r="AE11" s="56">
        <f ca="1">AC11*0.5</f>
        <v>1.5</v>
      </c>
      <c r="AF11" s="17">
        <f ca="1">บช.ก.!$C$13</f>
        <v>5</v>
      </c>
      <c r="AG11" s="18">
        <f ca="1">บช.ก.!$D$13</f>
        <v>5</v>
      </c>
      <c r="AH11" s="57">
        <f ca="1">AF11*0.5</f>
        <v>2.5</v>
      </c>
      <c r="AI11" s="19">
        <f ca="1">บช.สอท.!$B$13</f>
        <v>14</v>
      </c>
      <c r="AJ11" s="20">
        <f ca="1">บช.สอท.!$C$13</f>
        <v>20</v>
      </c>
      <c r="AK11" s="56">
        <f ca="1">AI11*0.5</f>
        <v>7</v>
      </c>
      <c r="AL11" s="17">
        <f ca="1">บช.ปส.!$B$13</f>
        <v>0</v>
      </c>
      <c r="AM11" s="18">
        <f ca="1">บช.ปส.!$C$13</f>
        <v>0</v>
      </c>
      <c r="AN11" s="57">
        <f ca="1">AL11*0.5</f>
        <v>0</v>
      </c>
      <c r="AO11" s="19">
        <f ca="1">สตม.!$B$13</f>
        <v>2</v>
      </c>
      <c r="AP11" s="20">
        <f ca="1">สตม.!$C$13</f>
        <v>2</v>
      </c>
      <c r="AQ11" s="56">
        <f ca="1">AO11*0.5</f>
        <v>1</v>
      </c>
      <c r="AR11" s="17">
        <f ca="1">บช.ทท.!$B$13</f>
        <v>1</v>
      </c>
      <c r="AS11" s="18">
        <f ca="1">บช.ทท.!$C$13</f>
        <v>1</v>
      </c>
      <c r="AT11" s="57">
        <f ca="1">AR11*0.5</f>
        <v>0.5</v>
      </c>
      <c r="AU11" s="56">
        <f ca="1">บช.ตชด.!$B$13</f>
        <v>0</v>
      </c>
      <c r="AV11" s="20">
        <f ca="1">บช.ตชด.!$C$13</f>
        <v>0</v>
      </c>
      <c r="AW11" s="56">
        <f ca="1">AU11*0.5</f>
        <v>0</v>
      </c>
      <c r="AX11" s="197">
        <f t="shared" ca="1" si="0"/>
        <v>308</v>
      </c>
      <c r="AY11" s="227">
        <f t="shared" ca="1" si="1"/>
        <v>327</v>
      </c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</row>
    <row r="12" spans="1:80" ht="13.5" thickBot="1">
      <c r="A12" s="22" t="s">
        <v>31</v>
      </c>
      <c r="B12" s="17">
        <f ca="1">บช.น.!$B$14</f>
        <v>29</v>
      </c>
      <c r="C12" s="18">
        <f ca="1">บช.น.!$C$14</f>
        <v>67</v>
      </c>
      <c r="D12" s="57">
        <f ca="1">B12*3</f>
        <v>87</v>
      </c>
      <c r="E12" s="19">
        <f ca="1">ภ.1!$B$14</f>
        <v>42</v>
      </c>
      <c r="F12" s="20">
        <f ca="1">ภ.1!$C$14</f>
        <v>156</v>
      </c>
      <c r="G12" s="56">
        <f ca="1">E12*3</f>
        <v>126</v>
      </c>
      <c r="H12" s="17">
        <f ca="1">ภ.2!$B$14</f>
        <v>99</v>
      </c>
      <c r="I12" s="18">
        <f ca="1">ภ.2!$C$14</f>
        <v>213</v>
      </c>
      <c r="J12" s="57">
        <f ca="1">H12*3</f>
        <v>297</v>
      </c>
      <c r="K12" s="19">
        <f ca="1">ภ.3!$B$14</f>
        <v>420</v>
      </c>
      <c r="L12" s="20">
        <f ca="1">ภ.3!$C$14</f>
        <v>529</v>
      </c>
      <c r="M12" s="56">
        <f ca="1">K12*3</f>
        <v>1260</v>
      </c>
      <c r="N12" s="17">
        <f ca="1">ภ.4!$B$14</f>
        <v>469</v>
      </c>
      <c r="O12" s="18">
        <f ca="1">ภ.4!$C$14</f>
        <v>777</v>
      </c>
      <c r="P12" s="57">
        <f ca="1">N12*3</f>
        <v>1407</v>
      </c>
      <c r="Q12" s="19">
        <f ca="1">ภ.5!$B$14</f>
        <v>7</v>
      </c>
      <c r="R12" s="20">
        <f ca="1">ภ.5!$C$14</f>
        <v>27</v>
      </c>
      <c r="S12" s="56">
        <f ca="1">Q12*3</f>
        <v>21</v>
      </c>
      <c r="T12" s="17">
        <f ca="1">ภ.6!$B$14</f>
        <v>11</v>
      </c>
      <c r="U12" s="18">
        <f ca="1">ภ.6!$C$14</f>
        <v>60</v>
      </c>
      <c r="V12" s="57">
        <f ca="1">T12*3</f>
        <v>33</v>
      </c>
      <c r="W12" s="19">
        <f ca="1">ภ.7!$B$14</f>
        <v>27</v>
      </c>
      <c r="X12" s="20">
        <f ca="1">ภ.7!$C$14</f>
        <v>85</v>
      </c>
      <c r="Y12" s="56">
        <f ca="1">W12*3</f>
        <v>81</v>
      </c>
      <c r="Z12" s="17">
        <f ca="1">ภ.8!$B$14</f>
        <v>81</v>
      </c>
      <c r="AA12" s="18">
        <f ca="1">ภ.8!$C$14</f>
        <v>190</v>
      </c>
      <c r="AB12" s="57">
        <f ca="1">Z12*3</f>
        <v>243</v>
      </c>
      <c r="AC12" s="19">
        <f ca="1">ภ.9!$B$14</f>
        <v>16</v>
      </c>
      <c r="AD12" s="20">
        <f ca="1">ภ.9!$C$14</f>
        <v>53</v>
      </c>
      <c r="AE12" s="56">
        <f ca="1">AC12*3</f>
        <v>48</v>
      </c>
      <c r="AF12" s="17">
        <f ca="1">บช.ก.!$C$14</f>
        <v>17</v>
      </c>
      <c r="AG12" s="18">
        <f ca="1">บช.ก.!$D$14</f>
        <v>46</v>
      </c>
      <c r="AH12" s="57">
        <f ca="1">AF12*3</f>
        <v>51</v>
      </c>
      <c r="AI12" s="19">
        <f ca="1">บช.สอท.!$B$14</f>
        <v>10</v>
      </c>
      <c r="AJ12" s="20">
        <f ca="1">บช.สอท.!$C$14</f>
        <v>20</v>
      </c>
      <c r="AK12" s="56">
        <f ca="1">AI12*3</f>
        <v>30</v>
      </c>
      <c r="AL12" s="17">
        <f ca="1">บช.ปส.!$B$14</f>
        <v>0</v>
      </c>
      <c r="AM12" s="18">
        <f ca="1">บช.ปส.!$C$14</f>
        <v>0</v>
      </c>
      <c r="AN12" s="57">
        <f ca="1">AL12*3</f>
        <v>0</v>
      </c>
      <c r="AO12" s="19">
        <f ca="1">สตม.!$B$14</f>
        <v>6</v>
      </c>
      <c r="AP12" s="20">
        <f ca="1">สตม.!$C$14</f>
        <v>25</v>
      </c>
      <c r="AQ12" s="56">
        <f ca="1">AO12*3</f>
        <v>18</v>
      </c>
      <c r="AR12" s="17">
        <f ca="1">บช.ทท.!$B$14</f>
        <v>3</v>
      </c>
      <c r="AS12" s="18">
        <f ca="1">บช.ทท.!$C$14</f>
        <v>8</v>
      </c>
      <c r="AT12" s="57">
        <f ca="1">AR12*3</f>
        <v>9</v>
      </c>
      <c r="AU12" s="56">
        <f ca="1">บช.ตชด.!$B$14</f>
        <v>0</v>
      </c>
      <c r="AV12" s="20">
        <f ca="1">บช.ตชด.!$C$14</f>
        <v>0</v>
      </c>
      <c r="AW12" s="56">
        <f ca="1">AU12*3</f>
        <v>0</v>
      </c>
      <c r="AX12" s="577">
        <f t="shared" ca="1" si="0"/>
        <v>1237</v>
      </c>
      <c r="AY12" s="578">
        <f t="shared" ca="1" si="1"/>
        <v>2256</v>
      </c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</row>
    <row r="13" spans="1:80" s="266" customFormat="1" ht="13.5" thickBot="1">
      <c r="A13" s="259" t="s">
        <v>32</v>
      </c>
      <c r="B13" s="260">
        <f ca="1">บช.น.!$B$15</f>
        <v>71</v>
      </c>
      <c r="C13" s="261">
        <f ca="1">บช.น.!$C$15</f>
        <v>115</v>
      </c>
      <c r="D13" s="262">
        <f ca="1">SUM(D4:D12)</f>
        <v>111</v>
      </c>
      <c r="E13" s="260">
        <f ca="1">ภ.1!$B$15</f>
        <v>221</v>
      </c>
      <c r="F13" s="261">
        <f ca="1">ภ.1!$C$15</f>
        <v>342</v>
      </c>
      <c r="G13" s="262">
        <f ca="1">SUM(G4:G12)</f>
        <v>215.5</v>
      </c>
      <c r="H13" s="260">
        <f ca="1">ภ.2!$B$15</f>
        <v>327</v>
      </c>
      <c r="I13" s="261">
        <f ca="1">ภ.2!$C$15</f>
        <v>449</v>
      </c>
      <c r="J13" s="262">
        <f ca="1">SUM(J4:J12)</f>
        <v>414</v>
      </c>
      <c r="K13" s="260">
        <f ca="1">ภ.3!$B$15</f>
        <v>549</v>
      </c>
      <c r="L13" s="261">
        <f ca="1">ภ.3!$C$15</f>
        <v>658</v>
      </c>
      <c r="M13" s="262">
        <f ca="1">SUM(M4:M12)</f>
        <v>1324.5</v>
      </c>
      <c r="N13" s="260">
        <f ca="1">ภ.4!$B$15</f>
        <v>655</v>
      </c>
      <c r="O13" s="261">
        <f ca="1">ภ.4!$C$15</f>
        <v>963</v>
      </c>
      <c r="P13" s="262">
        <f ca="1">SUM(P4:P12)</f>
        <v>1543.5</v>
      </c>
      <c r="Q13" s="260">
        <f ca="1">ภ.5!$B$15</f>
        <v>12</v>
      </c>
      <c r="R13" s="261">
        <f ca="1">ภ.5!$C$15</f>
        <v>32</v>
      </c>
      <c r="S13" s="262">
        <f ca="1">SUM(S4:S12)</f>
        <v>23.5</v>
      </c>
      <c r="T13" s="260">
        <f ca="1">ภ.6!$B$15</f>
        <v>19</v>
      </c>
      <c r="U13" s="261">
        <f ca="1">ภ.6!$C$15</f>
        <v>73</v>
      </c>
      <c r="V13" s="262">
        <f ca="1">SUM(V4:V12)</f>
        <v>39.5</v>
      </c>
      <c r="W13" s="260">
        <f ca="1">ภ.7!$B$15</f>
        <v>106</v>
      </c>
      <c r="X13" s="261">
        <f ca="1">ภ.7!$C$15</f>
        <v>207</v>
      </c>
      <c r="Y13" s="262">
        <f ca="1">SUM(Y4:Y12)</f>
        <v>127</v>
      </c>
      <c r="Z13" s="260">
        <f ca="1">ภ.8!$B$15</f>
        <v>104</v>
      </c>
      <c r="AA13" s="261">
        <f ca="1">ภ.8!$C$15</f>
        <v>212</v>
      </c>
      <c r="AB13" s="262">
        <f ca="1">SUM(AB4:AB12)</f>
        <v>254.5</v>
      </c>
      <c r="AC13" s="260">
        <f ca="1">ภ.9!$B$15</f>
        <v>28</v>
      </c>
      <c r="AD13" s="261">
        <f ca="1">ภ.9!$C$15</f>
        <v>69</v>
      </c>
      <c r="AE13" s="262">
        <f ca="1">SUM(AE4:AE12)</f>
        <v>63</v>
      </c>
      <c r="AF13" s="260">
        <f ca="1">บช.ก.!$C$15</f>
        <v>25</v>
      </c>
      <c r="AG13" s="261">
        <f ca="1">บช.ก.!$D$15</f>
        <v>57</v>
      </c>
      <c r="AH13" s="262">
        <f ca="1">SUM(AH4:AH12)</f>
        <v>55</v>
      </c>
      <c r="AI13" s="260">
        <f ca="1">บช.สอท.!$B$15</f>
        <v>49</v>
      </c>
      <c r="AJ13" s="261">
        <f ca="1">บช.สอท.!$C$15</f>
        <v>69</v>
      </c>
      <c r="AK13" s="262">
        <f ca="1">SUM(AK4:AK12)</f>
        <v>61.5</v>
      </c>
      <c r="AL13" s="260">
        <f ca="1">บช.ปส.!$B$15</f>
        <v>1</v>
      </c>
      <c r="AM13" s="261">
        <f ca="1">บช.ปส.!$C$15</f>
        <v>2</v>
      </c>
      <c r="AN13" s="262">
        <f ca="1">SUM(AN4:AN12)</f>
        <v>2</v>
      </c>
      <c r="AO13" s="260">
        <f ca="1">สตม.!$B$15</f>
        <v>10</v>
      </c>
      <c r="AP13" s="261">
        <f ca="1">สตม.!$C$15</f>
        <v>29</v>
      </c>
      <c r="AQ13" s="262">
        <f ca="1">SUM(AQ4:AQ12)</f>
        <v>23</v>
      </c>
      <c r="AR13" s="260">
        <f ca="1">บช.ทท.!$B$15</f>
        <v>6</v>
      </c>
      <c r="AS13" s="261">
        <f ca="1">บช.ทท.!$C$15</f>
        <v>11</v>
      </c>
      <c r="AT13" s="262">
        <f ca="1">SUM(AT4:AT12)</f>
        <v>13.5</v>
      </c>
      <c r="AU13" s="263">
        <f ca="1">บช.ตชด.!$B$15</f>
        <v>0</v>
      </c>
      <c r="AV13" s="261">
        <f ca="1">บช.ตชด.!$C$15</f>
        <v>0</v>
      </c>
      <c r="AW13" s="264">
        <f ca="1">SUM(AW4:AW12)</f>
        <v>0</v>
      </c>
      <c r="AX13" s="579">
        <f ca="1">SUM(AX5:AX12)</f>
        <v>2183</v>
      </c>
      <c r="AY13" s="580">
        <f ca="1">SUM(AY5:AY12)</f>
        <v>3288</v>
      </c>
      <c r="AZ13" s="265"/>
      <c r="BA13" s="265"/>
      <c r="BB13" s="265"/>
      <c r="BC13" s="265"/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5"/>
      <c r="BW13" s="265"/>
      <c r="BX13" s="265"/>
      <c r="BY13" s="265"/>
      <c r="BZ13" s="265"/>
      <c r="CA13" s="265"/>
      <c r="CB13" s="265"/>
    </row>
    <row r="14" spans="1:80" ht="13.5" thickBot="1">
      <c r="A14" s="14" t="s">
        <v>33</v>
      </c>
      <c r="B14" s="198"/>
      <c r="C14" s="199"/>
      <c r="D14" s="200"/>
      <c r="E14" s="201"/>
      <c r="F14" s="202"/>
      <c r="G14" s="203"/>
      <c r="H14" s="198"/>
      <c r="I14" s="199"/>
      <c r="J14" s="200"/>
      <c r="K14" s="201"/>
      <c r="L14" s="202"/>
      <c r="M14" s="203"/>
      <c r="N14" s="198"/>
      <c r="O14" s="199"/>
      <c r="P14" s="200"/>
      <c r="Q14" s="201"/>
      <c r="R14" s="202"/>
      <c r="S14" s="203"/>
      <c r="T14" s="198"/>
      <c r="U14" s="199"/>
      <c r="V14" s="200"/>
      <c r="W14" s="201"/>
      <c r="X14" s="202"/>
      <c r="Y14" s="203"/>
      <c r="Z14" s="198"/>
      <c r="AA14" s="199"/>
      <c r="AB14" s="200"/>
      <c r="AC14" s="201"/>
      <c r="AD14" s="202"/>
      <c r="AE14" s="203"/>
      <c r="AF14" s="198"/>
      <c r="AG14" s="199"/>
      <c r="AH14" s="200"/>
      <c r="AI14" s="201"/>
      <c r="AJ14" s="202"/>
      <c r="AK14" s="203"/>
      <c r="AL14" s="198"/>
      <c r="AM14" s="199"/>
      <c r="AN14" s="200"/>
      <c r="AO14" s="201"/>
      <c r="AP14" s="202"/>
      <c r="AQ14" s="203"/>
      <c r="AR14" s="198"/>
      <c r="AS14" s="199"/>
      <c r="AT14" s="200"/>
      <c r="AU14" s="204"/>
      <c r="AV14" s="202"/>
      <c r="AW14" s="203"/>
      <c r="AX14" s="230"/>
      <c r="AY14" s="2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</row>
    <row r="15" spans="1:80" ht="12.75">
      <c r="A15" s="22" t="s">
        <v>34</v>
      </c>
      <c r="B15" s="17">
        <f ca="1">บช.น.!$B$17</f>
        <v>1</v>
      </c>
      <c r="C15" s="18">
        <f ca="1">บช.น.!$C$17</f>
        <v>1</v>
      </c>
      <c r="D15" s="57">
        <f t="shared" ref="D15:D17" ca="1" si="2">B15*5</f>
        <v>5</v>
      </c>
      <c r="E15" s="19">
        <f ca="1">ภ.1!$B$17</f>
        <v>30</v>
      </c>
      <c r="F15" s="20">
        <f ca="1">ภ.1!$C$17</f>
        <v>30</v>
      </c>
      <c r="G15" s="56">
        <f t="shared" ref="G15:G17" ca="1" si="3">E15*5</f>
        <v>150</v>
      </c>
      <c r="H15" s="17">
        <f ca="1">ภ.2!$B$17</f>
        <v>28</v>
      </c>
      <c r="I15" s="18">
        <f ca="1">ภ.2!$C$17</f>
        <v>28</v>
      </c>
      <c r="J15" s="57">
        <f t="shared" ref="J15:J17" ca="1" si="4">H15*5</f>
        <v>140</v>
      </c>
      <c r="K15" s="19">
        <f ca="1">ภ.3!$B$17</f>
        <v>25</v>
      </c>
      <c r="L15" s="20">
        <f ca="1">ภ.3!$C$17</f>
        <v>25</v>
      </c>
      <c r="M15" s="56">
        <f t="shared" ref="M15:M17" ca="1" si="5">K15*5</f>
        <v>125</v>
      </c>
      <c r="N15" s="17">
        <f ca="1">ภ.4!$B$17</f>
        <v>97</v>
      </c>
      <c r="O15" s="18">
        <f ca="1">ภ.4!$C$17</f>
        <v>96</v>
      </c>
      <c r="P15" s="57">
        <f t="shared" ref="P15:P17" ca="1" si="6">N15*5</f>
        <v>485</v>
      </c>
      <c r="Q15" s="19">
        <f ca="1">ภ.5!$B$17</f>
        <v>77</v>
      </c>
      <c r="R15" s="20">
        <f ca="1">ภ.5!$C$17</f>
        <v>14</v>
      </c>
      <c r="S15" s="56">
        <f t="shared" ref="S15:S17" ca="1" si="7">Q15*5</f>
        <v>385</v>
      </c>
      <c r="T15" s="17">
        <f ca="1">ภ.6!$B$17</f>
        <v>3</v>
      </c>
      <c r="U15" s="18">
        <f ca="1">ภ.6!$C$17</f>
        <v>3</v>
      </c>
      <c r="V15" s="57">
        <f t="shared" ref="V15:V17" ca="1" si="8">T15*5</f>
        <v>15</v>
      </c>
      <c r="W15" s="19">
        <f ca="1">ภ.7!$B$17</f>
        <v>12</v>
      </c>
      <c r="X15" s="20">
        <f ca="1">ภ.7!$C$17</f>
        <v>12</v>
      </c>
      <c r="Y15" s="56">
        <f t="shared" ref="Y15:Y17" ca="1" si="9">W15*5</f>
        <v>60</v>
      </c>
      <c r="Z15" s="17">
        <f ca="1">ภ.8!$B$17</f>
        <v>37</v>
      </c>
      <c r="AA15" s="18">
        <f ca="1">ภ.8!$C$17</f>
        <v>38</v>
      </c>
      <c r="AB15" s="57">
        <f t="shared" ref="AB15:AB17" ca="1" si="10">Z15*5</f>
        <v>185</v>
      </c>
      <c r="AC15" s="19">
        <f ca="1">ภ.9!$B$17</f>
        <v>7</v>
      </c>
      <c r="AD15" s="20">
        <f ca="1">ภ.9!$C$17</f>
        <v>7</v>
      </c>
      <c r="AE15" s="56">
        <f t="shared" ref="AE15:AE17" ca="1" si="11">AC15*5</f>
        <v>35</v>
      </c>
      <c r="AF15" s="17">
        <f ca="1">บช.ก.!$C$17</f>
        <v>4</v>
      </c>
      <c r="AG15" s="18">
        <f ca="1">บช.ก.!$D$17</f>
        <v>5</v>
      </c>
      <c r="AH15" s="57">
        <f t="shared" ref="AH15:AH17" ca="1" si="12">AF15*5</f>
        <v>20</v>
      </c>
      <c r="AI15" s="19">
        <f ca="1">บช.สอท.!$B$17</f>
        <v>2</v>
      </c>
      <c r="AJ15" s="20">
        <f ca="1">บช.สอท.!$C$17</f>
        <v>2</v>
      </c>
      <c r="AK15" s="56">
        <f t="shared" ref="AK15:AK17" ca="1" si="13">AI15*5</f>
        <v>10</v>
      </c>
      <c r="AL15" s="17">
        <f ca="1">บช.ปส.!$B$17</f>
        <v>0</v>
      </c>
      <c r="AM15" s="18">
        <f ca="1">บช.ปส.!$C$17</f>
        <v>0</v>
      </c>
      <c r="AN15" s="57">
        <f t="shared" ref="AN15:AN17" ca="1" si="14">AL15*5</f>
        <v>0</v>
      </c>
      <c r="AO15" s="19">
        <f ca="1">สตม.!$B$17</f>
        <v>7</v>
      </c>
      <c r="AP15" s="20">
        <f ca="1">สตม.!$C$17</f>
        <v>8</v>
      </c>
      <c r="AQ15" s="56">
        <f t="shared" ref="AQ15:AQ17" ca="1" si="15">AO15*5</f>
        <v>35</v>
      </c>
      <c r="AR15" s="17">
        <f ca="1">บช.ทท.!$B$17</f>
        <v>6</v>
      </c>
      <c r="AS15" s="18">
        <f ca="1">บช.ทท.!$C$17</f>
        <v>6</v>
      </c>
      <c r="AT15" s="57">
        <f t="shared" ref="AT15:AT17" ca="1" si="16">AR15*5</f>
        <v>30</v>
      </c>
      <c r="AU15" s="56">
        <f ca="1">บช.ตชด.!$B$17</f>
        <v>0</v>
      </c>
      <c r="AV15" s="20">
        <f ca="1">บช.ตชด.!$C$17</f>
        <v>0</v>
      </c>
      <c r="AW15" s="56">
        <f t="shared" ref="AW15:AW17" ca="1" si="17">AU15*5</f>
        <v>0</v>
      </c>
      <c r="AX15" s="228">
        <f ca="1">SUM(B15,E15,H15,K15,N15,Q15,T15,W15,Z15,AC15,AF15,AI15,AL15,AO15,AR15,AU15)</f>
        <v>336</v>
      </c>
      <c r="AY15" s="229">
        <f ca="1">SUM(C15,F15,I15,L15,O15,R15,U15,X15,AA15,AD15,AG15,AJ15,AM15,AP15,AS15,AV15)</f>
        <v>275</v>
      </c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</row>
    <row r="16" spans="1:80" ht="12.75">
      <c r="A16" s="22" t="s">
        <v>35</v>
      </c>
      <c r="B16" s="17">
        <f ca="1">บช.น.!$B$18</f>
        <v>0</v>
      </c>
      <c r="C16" s="18">
        <f ca="1">บช.น.!$C$18</f>
        <v>0</v>
      </c>
      <c r="D16" s="57">
        <f t="shared" ca="1" si="2"/>
        <v>0</v>
      </c>
      <c r="E16" s="19">
        <f ca="1">ภ.1!$B$18</f>
        <v>0</v>
      </c>
      <c r="F16" s="20">
        <f ca="1">ภ.1!$C$18</f>
        <v>0</v>
      </c>
      <c r="G16" s="56">
        <f t="shared" ca="1" si="3"/>
        <v>0</v>
      </c>
      <c r="H16" s="17">
        <f ca="1">ภ.2!$B$18</f>
        <v>0</v>
      </c>
      <c r="I16" s="18">
        <f ca="1">ภ.2!$C$18</f>
        <v>0</v>
      </c>
      <c r="J16" s="57">
        <f t="shared" ca="1" si="4"/>
        <v>0</v>
      </c>
      <c r="K16" s="19">
        <f ca="1">ภ.3!$B$18</f>
        <v>0</v>
      </c>
      <c r="L16" s="20">
        <f ca="1">ภ.3!$C$18</f>
        <v>0</v>
      </c>
      <c r="M16" s="56">
        <f t="shared" ca="1" si="5"/>
        <v>0</v>
      </c>
      <c r="N16" s="17">
        <f ca="1">ภ.4!$B$18</f>
        <v>0</v>
      </c>
      <c r="O16" s="18">
        <f ca="1">ภ.4!$C$18</f>
        <v>0</v>
      </c>
      <c r="P16" s="57">
        <f t="shared" ca="1" si="6"/>
        <v>0</v>
      </c>
      <c r="Q16" s="19">
        <f ca="1">ภ.5!$B$18</f>
        <v>0</v>
      </c>
      <c r="R16" s="20">
        <f ca="1">ภ.5!$C$18</f>
        <v>0</v>
      </c>
      <c r="S16" s="56">
        <f t="shared" ca="1" si="7"/>
        <v>0</v>
      </c>
      <c r="T16" s="17">
        <f ca="1">ภ.6!$B$18</f>
        <v>0</v>
      </c>
      <c r="U16" s="18">
        <f ca="1">ภ.6!$C$18</f>
        <v>0</v>
      </c>
      <c r="V16" s="57">
        <f t="shared" ca="1" si="8"/>
        <v>0</v>
      </c>
      <c r="W16" s="19">
        <f ca="1">ภ.7!$B$18</f>
        <v>0</v>
      </c>
      <c r="X16" s="20">
        <f ca="1">ภ.7!$C$18</f>
        <v>0</v>
      </c>
      <c r="Y16" s="56">
        <f t="shared" ca="1" si="9"/>
        <v>0</v>
      </c>
      <c r="Z16" s="17">
        <f ca="1">ภ.8!$B$18</f>
        <v>0</v>
      </c>
      <c r="AA16" s="18">
        <f ca="1">ภ.8!$C$18</f>
        <v>0</v>
      </c>
      <c r="AB16" s="57">
        <f t="shared" ca="1" si="10"/>
        <v>0</v>
      </c>
      <c r="AC16" s="19">
        <f ca="1">ภ.9!$B$18</f>
        <v>0</v>
      </c>
      <c r="AD16" s="20">
        <f ca="1">ภ.9!$C$18</f>
        <v>0</v>
      </c>
      <c r="AE16" s="56">
        <f t="shared" ca="1" si="11"/>
        <v>0</v>
      </c>
      <c r="AF16" s="17">
        <f ca="1">บช.ก.!$C$18</f>
        <v>0</v>
      </c>
      <c r="AG16" s="18">
        <f ca="1">บช.ก.!$D$18</f>
        <v>0</v>
      </c>
      <c r="AH16" s="57">
        <f t="shared" ca="1" si="12"/>
        <v>0</v>
      </c>
      <c r="AI16" s="19">
        <f ca="1">บช.สอท.!$B$18</f>
        <v>0</v>
      </c>
      <c r="AJ16" s="20">
        <f ca="1">บช.สอท.!$C$18</f>
        <v>0</v>
      </c>
      <c r="AK16" s="56">
        <f t="shared" ca="1" si="13"/>
        <v>0</v>
      </c>
      <c r="AL16" s="17">
        <f ca="1">บช.ปส.!$B$18</f>
        <v>0</v>
      </c>
      <c r="AM16" s="18">
        <f ca="1">บช.ปส.!$C$18</f>
        <v>0</v>
      </c>
      <c r="AN16" s="57">
        <f t="shared" ca="1" si="14"/>
        <v>0</v>
      </c>
      <c r="AO16" s="19">
        <f ca="1">สตม.!$B$18</f>
        <v>0</v>
      </c>
      <c r="AP16" s="20">
        <f ca="1">สตม.!$C$18</f>
        <v>0</v>
      </c>
      <c r="AQ16" s="56">
        <f t="shared" ca="1" si="15"/>
        <v>0</v>
      </c>
      <c r="AR16" s="17">
        <f ca="1">บช.ทท.!$B$18</f>
        <v>0</v>
      </c>
      <c r="AS16" s="18">
        <f ca="1">บช.ทท.!$C$18</f>
        <v>0</v>
      </c>
      <c r="AT16" s="57">
        <f t="shared" ca="1" si="16"/>
        <v>0</v>
      </c>
      <c r="AU16" s="56">
        <f ca="1">บช.ตชด.!$B$18</f>
        <v>0</v>
      </c>
      <c r="AV16" s="20">
        <f ca="1">บช.ตชด.!$C$18</f>
        <v>0</v>
      </c>
      <c r="AW16" s="56">
        <f t="shared" ca="1" si="17"/>
        <v>0</v>
      </c>
      <c r="AX16" s="197">
        <f t="shared" ref="AX16:AX21" ca="1" si="18">SUM(B16,E16,H16,K16,N16,Q16,T16,W16,Z16,AC16,AF16,AI16,AL16,AO16,AR16,AU16)</f>
        <v>0</v>
      </c>
      <c r="AY16" s="227">
        <f t="shared" ref="AY16:AY21" ca="1" si="19">SUM(C16,F16,I16,L16,O16,R16,U16,X16,AA16,AD16,AG16,AJ16,AM16,AP16,AS16,AV16)</f>
        <v>0</v>
      </c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</row>
    <row r="17" spans="1:80" ht="12.75">
      <c r="A17" s="22" t="s">
        <v>36</v>
      </c>
      <c r="B17" s="17">
        <f ca="1">บช.น.!$B$19</f>
        <v>0</v>
      </c>
      <c r="C17" s="18">
        <f ca="1">บช.น.!$C$19</f>
        <v>0</v>
      </c>
      <c r="D17" s="57">
        <f t="shared" ca="1" si="2"/>
        <v>0</v>
      </c>
      <c r="E17" s="19">
        <f ca="1">ภ.1!$B$19</f>
        <v>0</v>
      </c>
      <c r="F17" s="20">
        <f ca="1">ภ.1!$C$19</f>
        <v>0</v>
      </c>
      <c r="G17" s="56">
        <f t="shared" ca="1" si="3"/>
        <v>0</v>
      </c>
      <c r="H17" s="17">
        <f ca="1">ภ.2!$B$19</f>
        <v>0</v>
      </c>
      <c r="I17" s="18">
        <f ca="1">ภ.2!$C$19</f>
        <v>0</v>
      </c>
      <c r="J17" s="57">
        <f t="shared" ca="1" si="4"/>
        <v>0</v>
      </c>
      <c r="K17" s="19">
        <f ca="1">ภ.3!$B$19</f>
        <v>0</v>
      </c>
      <c r="L17" s="20">
        <f ca="1">ภ.3!$C$19</f>
        <v>0</v>
      </c>
      <c r="M17" s="56">
        <f t="shared" ca="1" si="5"/>
        <v>0</v>
      </c>
      <c r="N17" s="17">
        <f ca="1">ภ.4!$B$19</f>
        <v>0</v>
      </c>
      <c r="O17" s="18">
        <f ca="1">ภ.4!$C$19</f>
        <v>0</v>
      </c>
      <c r="P17" s="57">
        <f t="shared" ca="1" si="6"/>
        <v>0</v>
      </c>
      <c r="Q17" s="19">
        <f ca="1">ภ.5!$B$19</f>
        <v>0</v>
      </c>
      <c r="R17" s="20">
        <f ca="1">ภ.5!$C$19</f>
        <v>0</v>
      </c>
      <c r="S17" s="56">
        <f t="shared" ca="1" si="7"/>
        <v>0</v>
      </c>
      <c r="T17" s="17">
        <f ca="1">ภ.6!$B$19</f>
        <v>0</v>
      </c>
      <c r="U17" s="18">
        <f ca="1">ภ.6!$C$19</f>
        <v>0</v>
      </c>
      <c r="V17" s="57">
        <f t="shared" ca="1" si="8"/>
        <v>0</v>
      </c>
      <c r="W17" s="19">
        <f ca="1">ภ.7!$B$19</f>
        <v>0</v>
      </c>
      <c r="X17" s="20">
        <f ca="1">ภ.7!$C$19</f>
        <v>0</v>
      </c>
      <c r="Y17" s="56">
        <f t="shared" ca="1" si="9"/>
        <v>0</v>
      </c>
      <c r="Z17" s="17">
        <f ca="1">ภ.8!$B$19</f>
        <v>0</v>
      </c>
      <c r="AA17" s="18">
        <f ca="1">ภ.8!$C$19</f>
        <v>0</v>
      </c>
      <c r="AB17" s="57">
        <f t="shared" ca="1" si="10"/>
        <v>0</v>
      </c>
      <c r="AC17" s="19">
        <f ca="1">ภ.9!$B$19</f>
        <v>0</v>
      </c>
      <c r="AD17" s="20">
        <f ca="1">ภ.9!$C$19</f>
        <v>0</v>
      </c>
      <c r="AE17" s="56">
        <f t="shared" ca="1" si="11"/>
        <v>0</v>
      </c>
      <c r="AF17" s="17">
        <f ca="1">บช.ก.!$C$19</f>
        <v>0</v>
      </c>
      <c r="AG17" s="18">
        <f ca="1">บช.ก.!$D$19</f>
        <v>0</v>
      </c>
      <c r="AH17" s="57">
        <f t="shared" ca="1" si="12"/>
        <v>0</v>
      </c>
      <c r="AI17" s="19">
        <f ca="1">บช.สอท.!$B$19</f>
        <v>0</v>
      </c>
      <c r="AJ17" s="20">
        <f ca="1">บช.สอท.!$C$19</f>
        <v>0</v>
      </c>
      <c r="AK17" s="56">
        <f t="shared" ca="1" si="13"/>
        <v>0</v>
      </c>
      <c r="AL17" s="17">
        <f ca="1">บช.ปส.!$B$19</f>
        <v>1</v>
      </c>
      <c r="AM17" s="18">
        <f ca="1">บช.ปส.!$C$19</f>
        <v>0</v>
      </c>
      <c r="AN17" s="57">
        <f t="shared" ca="1" si="14"/>
        <v>5</v>
      </c>
      <c r="AO17" s="19">
        <f ca="1">สตม.!$B$19</f>
        <v>0</v>
      </c>
      <c r="AP17" s="20">
        <f ca="1">สตม.!$C$19</f>
        <v>0</v>
      </c>
      <c r="AQ17" s="56">
        <f t="shared" ca="1" si="15"/>
        <v>0</v>
      </c>
      <c r="AR17" s="17">
        <f ca="1">บช.ทท.!$B$19</f>
        <v>0</v>
      </c>
      <c r="AS17" s="18">
        <f ca="1">บช.ทท.!$C$19</f>
        <v>0</v>
      </c>
      <c r="AT17" s="57">
        <f t="shared" ca="1" si="16"/>
        <v>0</v>
      </c>
      <c r="AU17" s="56">
        <f ca="1">บช.ตชด.!$B$19</f>
        <v>0</v>
      </c>
      <c r="AV17" s="20">
        <f ca="1">บช.ตชด.!$C$19</f>
        <v>0</v>
      </c>
      <c r="AW17" s="56">
        <f t="shared" ca="1" si="17"/>
        <v>0</v>
      </c>
      <c r="AX17" s="197">
        <f t="shared" ca="1" si="18"/>
        <v>1</v>
      </c>
      <c r="AY17" s="227">
        <f t="shared" ca="1" si="19"/>
        <v>0</v>
      </c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</row>
    <row r="18" spans="1:80" ht="12.75">
      <c r="A18" s="22" t="s">
        <v>37</v>
      </c>
      <c r="B18" s="17">
        <f ca="1">บช.น.!$B$20</f>
        <v>3</v>
      </c>
      <c r="C18" s="18">
        <f ca="1">บช.น.!$C$20</f>
        <v>3</v>
      </c>
      <c r="D18" s="57">
        <f ca="1">B18*3</f>
        <v>9</v>
      </c>
      <c r="E18" s="19">
        <f ca="1">ภ.1!$B$20</f>
        <v>26</v>
      </c>
      <c r="F18" s="20">
        <f ca="1">ภ.1!$C$20</f>
        <v>31</v>
      </c>
      <c r="G18" s="56">
        <f ca="1">E18*3</f>
        <v>78</v>
      </c>
      <c r="H18" s="17">
        <f ca="1">ภ.2!$B$20</f>
        <v>24</v>
      </c>
      <c r="I18" s="18">
        <f ca="1">ภ.2!$C$20</f>
        <v>27</v>
      </c>
      <c r="J18" s="57">
        <f ca="1">H18*3</f>
        <v>72</v>
      </c>
      <c r="K18" s="19">
        <f ca="1">ภ.3!$B$20</f>
        <v>31</v>
      </c>
      <c r="L18" s="20">
        <f ca="1">ภ.3!$C$20</f>
        <v>33</v>
      </c>
      <c r="M18" s="56">
        <f ca="1">K18*3</f>
        <v>93</v>
      </c>
      <c r="N18" s="17">
        <f ca="1">ภ.4!$B$20</f>
        <v>15</v>
      </c>
      <c r="O18" s="18">
        <f ca="1">ภ.4!$C$20</f>
        <v>18</v>
      </c>
      <c r="P18" s="57">
        <f ca="1">N18*3</f>
        <v>45</v>
      </c>
      <c r="Q18" s="19">
        <f ca="1">ภ.5!$B$20</f>
        <v>20</v>
      </c>
      <c r="R18" s="20">
        <f ca="1">ภ.5!$C$20</f>
        <v>21</v>
      </c>
      <c r="S18" s="56">
        <f ca="1">Q18*3</f>
        <v>60</v>
      </c>
      <c r="T18" s="17">
        <f ca="1">ภ.6!$B$20</f>
        <v>21</v>
      </c>
      <c r="U18" s="18">
        <f ca="1">ภ.6!$C$20</f>
        <v>24</v>
      </c>
      <c r="V18" s="57">
        <f ca="1">T18*3</f>
        <v>63</v>
      </c>
      <c r="W18" s="19">
        <f ca="1">ภ.7!$B$20</f>
        <v>15</v>
      </c>
      <c r="X18" s="20">
        <f ca="1">ภ.7!$C$20</f>
        <v>18</v>
      </c>
      <c r="Y18" s="56">
        <f ca="1">W18*3</f>
        <v>45</v>
      </c>
      <c r="Z18" s="17">
        <f ca="1">ภ.8!$B$20</f>
        <v>8</v>
      </c>
      <c r="AA18" s="18">
        <f ca="1">ภ.8!$C$20</f>
        <v>9</v>
      </c>
      <c r="AB18" s="57">
        <f ca="1">Z18*3</f>
        <v>24</v>
      </c>
      <c r="AC18" s="19">
        <f ca="1">ภ.9!$B$20</f>
        <v>3</v>
      </c>
      <c r="AD18" s="20">
        <f ca="1">ภ.9!$C$20</f>
        <v>3</v>
      </c>
      <c r="AE18" s="56">
        <f ca="1">AC18*3</f>
        <v>9</v>
      </c>
      <c r="AF18" s="17">
        <f ca="1">บช.ก.!$C$20</f>
        <v>2</v>
      </c>
      <c r="AG18" s="18">
        <f ca="1">บช.ก.!$D$20</f>
        <v>2</v>
      </c>
      <c r="AH18" s="57">
        <f ca="1">AF18*3</f>
        <v>6</v>
      </c>
      <c r="AI18" s="19">
        <f ca="1">บช.สอท.!$B$20</f>
        <v>0</v>
      </c>
      <c r="AJ18" s="20">
        <f ca="1">บช.สอท.!$C$20</f>
        <v>0</v>
      </c>
      <c r="AK18" s="56">
        <f ca="1">AI18*3</f>
        <v>0</v>
      </c>
      <c r="AL18" s="17">
        <f ca="1">บช.ปส.!$B$20</f>
        <v>2</v>
      </c>
      <c r="AM18" s="18">
        <f ca="1">บช.ปส.!$C$20</f>
        <v>2</v>
      </c>
      <c r="AN18" s="57">
        <f ca="1">AL18*3</f>
        <v>6</v>
      </c>
      <c r="AO18" s="19">
        <f ca="1">สตม.!$B$20</f>
        <v>3</v>
      </c>
      <c r="AP18" s="20">
        <f ca="1">สตม.!$C$20</f>
        <v>3</v>
      </c>
      <c r="AQ18" s="56">
        <f ca="1">AO18*3</f>
        <v>9</v>
      </c>
      <c r="AR18" s="17">
        <f ca="1">บช.ทท.!$B$20</f>
        <v>2</v>
      </c>
      <c r="AS18" s="18">
        <f ca="1">บช.ทท.!$C$20</f>
        <v>2</v>
      </c>
      <c r="AT18" s="57">
        <f ca="1">AR18*3</f>
        <v>6</v>
      </c>
      <c r="AU18" s="56">
        <f ca="1">บช.ตชด.!$B$20</f>
        <v>0</v>
      </c>
      <c r="AV18" s="20">
        <f ca="1">บช.ตชด.!$C$20</f>
        <v>0</v>
      </c>
      <c r="AW18" s="56">
        <f ca="1">AU18*3</f>
        <v>0</v>
      </c>
      <c r="AX18" s="197">
        <f t="shared" ca="1" si="18"/>
        <v>175</v>
      </c>
      <c r="AY18" s="227">
        <f t="shared" ca="1" si="19"/>
        <v>196</v>
      </c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</row>
    <row r="19" spans="1:80" ht="12.75">
      <c r="A19" s="22" t="s">
        <v>38</v>
      </c>
      <c r="B19" s="17">
        <f ca="1">บช.น.!$B$21</f>
        <v>47</v>
      </c>
      <c r="C19" s="18">
        <f ca="1">บช.น.!$C$21</f>
        <v>101</v>
      </c>
      <c r="D19" s="57">
        <f ca="1">B19*2</f>
        <v>94</v>
      </c>
      <c r="E19" s="19">
        <f ca="1">ภ.1!$B$21</f>
        <v>190</v>
      </c>
      <c r="F19" s="20">
        <f ca="1">ภ.1!$C$21</f>
        <v>198</v>
      </c>
      <c r="G19" s="56">
        <f ca="1">E19*2</f>
        <v>380</v>
      </c>
      <c r="H19" s="17">
        <f ca="1">ภ.2!$B$21</f>
        <v>133</v>
      </c>
      <c r="I19" s="18">
        <f ca="1">ภ.2!$C$21</f>
        <v>141</v>
      </c>
      <c r="J19" s="57">
        <f ca="1">H19*2</f>
        <v>266</v>
      </c>
      <c r="K19" s="19">
        <f ca="1">ภ.3!$B$21</f>
        <v>132</v>
      </c>
      <c r="L19" s="20">
        <f ca="1">ภ.3!$C$21</f>
        <v>141</v>
      </c>
      <c r="M19" s="56">
        <f ca="1">K19*2</f>
        <v>264</v>
      </c>
      <c r="N19" s="17">
        <f ca="1">ภ.4!$B$21</f>
        <v>508</v>
      </c>
      <c r="O19" s="18">
        <f ca="1">ภ.4!$C$21</f>
        <v>530</v>
      </c>
      <c r="P19" s="57">
        <f ca="1">N19*2</f>
        <v>1016</v>
      </c>
      <c r="Q19" s="19">
        <f ca="1">ภ.5!$B$21</f>
        <v>78</v>
      </c>
      <c r="R19" s="20">
        <f ca="1">ภ.5!$C$21</f>
        <v>54</v>
      </c>
      <c r="S19" s="56">
        <f ca="1">Q19*2</f>
        <v>156</v>
      </c>
      <c r="T19" s="17">
        <f ca="1">ภ.6!$B$21</f>
        <v>92</v>
      </c>
      <c r="U19" s="18">
        <f ca="1">ภ.6!$C$21</f>
        <v>101</v>
      </c>
      <c r="V19" s="57">
        <f ca="1">T19*2</f>
        <v>184</v>
      </c>
      <c r="W19" s="19">
        <f ca="1">ภ.7!$B$21</f>
        <v>159</v>
      </c>
      <c r="X19" s="20">
        <f ca="1">ภ.7!$C$21</f>
        <v>163</v>
      </c>
      <c r="Y19" s="56">
        <f ca="1">W19*2</f>
        <v>318</v>
      </c>
      <c r="Z19" s="17">
        <f ca="1">ภ.8!$B$21</f>
        <v>109</v>
      </c>
      <c r="AA19" s="18">
        <f ca="1">ภ.8!$C$21</f>
        <v>117</v>
      </c>
      <c r="AB19" s="57">
        <f ca="1">Z19*2</f>
        <v>218</v>
      </c>
      <c r="AC19" s="19">
        <f ca="1">ภ.9!$B$21</f>
        <v>101</v>
      </c>
      <c r="AD19" s="20">
        <f ca="1">ภ.9!$C$21</f>
        <v>112</v>
      </c>
      <c r="AE19" s="56">
        <f ca="1">AC19*2</f>
        <v>202</v>
      </c>
      <c r="AF19" s="17">
        <v>82</v>
      </c>
      <c r="AG19" s="18">
        <v>156</v>
      </c>
      <c r="AH19" s="58">
        <v>166</v>
      </c>
      <c r="AI19" s="19">
        <f ca="1">บช.สอท.!$B$21</f>
        <v>10</v>
      </c>
      <c r="AJ19" s="20">
        <f ca="1">บช.สอท.!$C$21</f>
        <v>11</v>
      </c>
      <c r="AK19" s="56">
        <f ca="1">AI19*2</f>
        <v>20</v>
      </c>
      <c r="AL19" s="17">
        <f ca="1">บช.ปส.!$B$21</f>
        <v>17</v>
      </c>
      <c r="AM19" s="18">
        <f ca="1">บช.ปส.!$C$21</f>
        <v>25</v>
      </c>
      <c r="AN19" s="57">
        <f ca="1">AL19*2</f>
        <v>34</v>
      </c>
      <c r="AO19" s="19">
        <f ca="1">สตม.!$B$21</f>
        <v>58</v>
      </c>
      <c r="AP19" s="20">
        <f ca="1">สตม.!$C$21</f>
        <v>59</v>
      </c>
      <c r="AQ19" s="56">
        <f ca="1">AO19*2</f>
        <v>116</v>
      </c>
      <c r="AR19" s="17">
        <f ca="1">บช.ทท.!$B$21</f>
        <v>25</v>
      </c>
      <c r="AS19" s="18">
        <f ca="1">บช.ทท.!$C$21</f>
        <v>26</v>
      </c>
      <c r="AT19" s="57">
        <f ca="1">AR19*2</f>
        <v>50</v>
      </c>
      <c r="AU19" s="56">
        <f ca="1">บช.ตชด.!$B$21</f>
        <v>11</v>
      </c>
      <c r="AV19" s="20">
        <f ca="1">บช.ตชด.!$C$21</f>
        <v>17</v>
      </c>
      <c r="AW19" s="56">
        <f ca="1">AU19*2</f>
        <v>22</v>
      </c>
      <c r="AX19" s="577">
        <f t="shared" ca="1" si="18"/>
        <v>1752</v>
      </c>
      <c r="AY19" s="578">
        <f t="shared" ca="1" si="19"/>
        <v>1952</v>
      </c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</row>
    <row r="20" spans="1:80" ht="12.75">
      <c r="A20" s="22" t="s">
        <v>39</v>
      </c>
      <c r="B20" s="17">
        <f ca="1">บช.น.!$B$22</f>
        <v>32</v>
      </c>
      <c r="C20" s="18">
        <f ca="1">บช.น.!$C$22</f>
        <v>32</v>
      </c>
      <c r="D20" s="57">
        <f ca="1">B20*1</f>
        <v>32</v>
      </c>
      <c r="E20" s="19">
        <f ca="1">ภ.1!$B$22</f>
        <v>174</v>
      </c>
      <c r="F20" s="20">
        <f ca="1">ภ.1!$C$22</f>
        <v>174</v>
      </c>
      <c r="G20" s="56">
        <f ca="1">E20*1</f>
        <v>174</v>
      </c>
      <c r="H20" s="17">
        <f ca="1">ภ.2!$B$22</f>
        <v>144</v>
      </c>
      <c r="I20" s="18">
        <f ca="1">ภ.2!$C$22</f>
        <v>147</v>
      </c>
      <c r="J20" s="57">
        <f ca="1">H20*1</f>
        <v>144</v>
      </c>
      <c r="K20" s="19">
        <f ca="1">ภ.3!$B$22</f>
        <v>121</v>
      </c>
      <c r="L20" s="20">
        <f ca="1">ภ.3!$C$22</f>
        <v>122</v>
      </c>
      <c r="M20" s="56">
        <f ca="1">K20*1</f>
        <v>121</v>
      </c>
      <c r="N20" s="17">
        <f ca="1">ภ.4!$B$22</f>
        <v>870</v>
      </c>
      <c r="O20" s="18">
        <f ca="1">ภ.4!$C$22</f>
        <v>866</v>
      </c>
      <c r="P20" s="57">
        <f ca="1">N20*1</f>
        <v>870</v>
      </c>
      <c r="Q20" s="19">
        <f ca="1">ภ.5!$B$22</f>
        <v>59</v>
      </c>
      <c r="R20" s="20">
        <f ca="1">ภ.5!$C$22</f>
        <v>42</v>
      </c>
      <c r="S20" s="56">
        <f ca="1">Q20*1</f>
        <v>59</v>
      </c>
      <c r="T20" s="17">
        <f ca="1">ภ.6!$B$22</f>
        <v>87</v>
      </c>
      <c r="U20" s="18">
        <f ca="1">ภ.6!$C$22</f>
        <v>89</v>
      </c>
      <c r="V20" s="57">
        <f ca="1">T20*1</f>
        <v>87</v>
      </c>
      <c r="W20" s="19">
        <f ca="1">ภ.7!$B$22</f>
        <v>188</v>
      </c>
      <c r="X20" s="20">
        <f ca="1">ภ.7!$C$22</f>
        <v>190</v>
      </c>
      <c r="Y20" s="56">
        <f ca="1">W20*1</f>
        <v>188</v>
      </c>
      <c r="Z20" s="17">
        <f ca="1">ภ.8!$B$22</f>
        <v>196</v>
      </c>
      <c r="AA20" s="18">
        <f ca="1">ภ.8!$C$22</f>
        <v>199</v>
      </c>
      <c r="AB20" s="57">
        <f ca="1">Z20*1</f>
        <v>196</v>
      </c>
      <c r="AC20" s="19">
        <f ca="1">ภ.9!$B$22</f>
        <v>203</v>
      </c>
      <c r="AD20" s="20">
        <f ca="1">ภ.9!$C$22</f>
        <v>211</v>
      </c>
      <c r="AE20" s="56">
        <f ca="1">AC20*1</f>
        <v>203</v>
      </c>
      <c r="AF20" s="17">
        <f ca="1">บช.ก.!$C$22</f>
        <v>48</v>
      </c>
      <c r="AG20" s="18">
        <f ca="1">บช.ก.!$D$22</f>
        <v>51</v>
      </c>
      <c r="AH20" s="57">
        <f ca="1">AF20*1</f>
        <v>48</v>
      </c>
      <c r="AI20" s="19">
        <f ca="1">บช.สอท.!$B$22</f>
        <v>5</v>
      </c>
      <c r="AJ20" s="20">
        <f ca="1">บช.สอท.!$C$22</f>
        <v>5</v>
      </c>
      <c r="AK20" s="56">
        <f ca="1">AI20*1</f>
        <v>5</v>
      </c>
      <c r="AL20" s="17">
        <f ca="1">บช.ปส.!$B$22</f>
        <v>4</v>
      </c>
      <c r="AM20" s="18">
        <f ca="1">บช.ปส.!$C$22</f>
        <v>4</v>
      </c>
      <c r="AN20" s="57">
        <f ca="1">AL20*1</f>
        <v>4</v>
      </c>
      <c r="AO20" s="19">
        <f ca="1">สตม.!$B$22</f>
        <v>36</v>
      </c>
      <c r="AP20" s="20">
        <f ca="1">สตม.!$C$22</f>
        <v>45</v>
      </c>
      <c r="AQ20" s="56">
        <f ca="1">AO20*1</f>
        <v>36</v>
      </c>
      <c r="AR20" s="17">
        <f ca="1">บช.ทท.!$B$22</f>
        <v>10</v>
      </c>
      <c r="AS20" s="18">
        <f ca="1">บช.ทท.!$C$22</f>
        <v>10</v>
      </c>
      <c r="AT20" s="57">
        <f ca="1">AR20*1</f>
        <v>10</v>
      </c>
      <c r="AU20" s="56">
        <f ca="1">บช.ตชด.!$B$22</f>
        <v>2</v>
      </c>
      <c r="AV20" s="20">
        <f ca="1">บช.ตชด.!$C$22</f>
        <v>3</v>
      </c>
      <c r="AW20" s="56">
        <f ca="1">AU20*1</f>
        <v>2</v>
      </c>
      <c r="AX20" s="577">
        <f t="shared" ca="1" si="18"/>
        <v>2179</v>
      </c>
      <c r="AY20" s="578">
        <f t="shared" ca="1" si="19"/>
        <v>2190</v>
      </c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</row>
    <row r="21" spans="1:80" ht="13.5" thickBot="1">
      <c r="A21" s="232" t="s">
        <v>40</v>
      </c>
      <c r="B21" s="233">
        <f ca="1">บช.น.!$B$23</f>
        <v>50</v>
      </c>
      <c r="C21" s="234">
        <f ca="1">บช.น.!$C$23</f>
        <v>50</v>
      </c>
      <c r="D21" s="235">
        <f ca="1">B21*0.5</f>
        <v>25</v>
      </c>
      <c r="E21" s="236">
        <f ca="1">ภ.1!$B$23</f>
        <v>215</v>
      </c>
      <c r="F21" s="237">
        <f ca="1">ภ.1!$C$23</f>
        <v>215</v>
      </c>
      <c r="G21" s="238">
        <f ca="1">E21*0.5</f>
        <v>107.5</v>
      </c>
      <c r="H21" s="233">
        <f ca="1">ภ.2!$B$23</f>
        <v>457</v>
      </c>
      <c r="I21" s="234">
        <f ca="1">ภ.2!$C$23</f>
        <v>456</v>
      </c>
      <c r="J21" s="235">
        <f ca="1">H21*0.5</f>
        <v>228.5</v>
      </c>
      <c r="K21" s="236">
        <f ca="1">ภ.3!$B$23</f>
        <v>560</v>
      </c>
      <c r="L21" s="237">
        <f ca="1">ภ.3!$C$23</f>
        <v>560</v>
      </c>
      <c r="M21" s="238">
        <f ca="1">K21*0.5</f>
        <v>280</v>
      </c>
      <c r="N21" s="233">
        <f ca="1">ภ.4!$B$23</f>
        <v>2364</v>
      </c>
      <c r="O21" s="234">
        <f ca="1">ภ.4!$C$23</f>
        <v>2349</v>
      </c>
      <c r="P21" s="235">
        <f ca="1">N21*0.5</f>
        <v>1182</v>
      </c>
      <c r="Q21" s="236">
        <f ca="1">ภ.5!$B$23</f>
        <v>227</v>
      </c>
      <c r="R21" s="237">
        <f ca="1">ภ.5!$C$23</f>
        <v>227</v>
      </c>
      <c r="S21" s="238">
        <f ca="1">Q21*0.5</f>
        <v>113.5</v>
      </c>
      <c r="T21" s="233">
        <f ca="1">ภ.6!$B$23</f>
        <v>396</v>
      </c>
      <c r="U21" s="234">
        <f ca="1">ภ.6!$C$23</f>
        <v>396</v>
      </c>
      <c r="V21" s="235">
        <f ca="1">T21*0.5</f>
        <v>198</v>
      </c>
      <c r="W21" s="236">
        <f ca="1">ภ.7!$B$23</f>
        <v>278</v>
      </c>
      <c r="X21" s="237">
        <f ca="1">ภ.7!$C$23</f>
        <v>278</v>
      </c>
      <c r="Y21" s="238">
        <f ca="1">W21*0.5</f>
        <v>139</v>
      </c>
      <c r="Z21" s="233">
        <f ca="1">ภ.8!$B$23</f>
        <v>218</v>
      </c>
      <c r="AA21" s="234">
        <f ca="1">ภ.8!$C$23</f>
        <v>218</v>
      </c>
      <c r="AB21" s="235">
        <f ca="1">Z21*0.5</f>
        <v>109</v>
      </c>
      <c r="AC21" s="236">
        <f ca="1">ภ.9!$B$23</f>
        <v>173</v>
      </c>
      <c r="AD21" s="237">
        <f ca="1">ภ.9!$C$23</f>
        <v>173</v>
      </c>
      <c r="AE21" s="238">
        <f ca="1">AC21*0.5</f>
        <v>86.5</v>
      </c>
      <c r="AF21" s="233">
        <f ca="1">บช.ก.!$C$23</f>
        <v>34</v>
      </c>
      <c r="AG21" s="234">
        <f ca="1">บช.ก.!$D$23</f>
        <v>42</v>
      </c>
      <c r="AH21" s="235">
        <f ca="1">AF21*0.5</f>
        <v>17</v>
      </c>
      <c r="AI21" s="236">
        <f ca="1">บช.สอท.!$B$23</f>
        <v>9</v>
      </c>
      <c r="AJ21" s="237">
        <f ca="1">บช.สอท.!$C$23</f>
        <v>10</v>
      </c>
      <c r="AK21" s="238">
        <f ca="1">AI21*0.5</f>
        <v>4.5</v>
      </c>
      <c r="AL21" s="233">
        <f ca="1">บช.ปส.!$B$23</f>
        <v>2</v>
      </c>
      <c r="AM21" s="234">
        <f ca="1">บช.ปส.!$C$23</f>
        <v>2</v>
      </c>
      <c r="AN21" s="235">
        <f ca="1">AL21*0.5</f>
        <v>1</v>
      </c>
      <c r="AO21" s="236">
        <f ca="1">สตม.!$B$23</f>
        <v>87</v>
      </c>
      <c r="AP21" s="237">
        <f ca="1">สตม.!$C$23</f>
        <v>89</v>
      </c>
      <c r="AQ21" s="238">
        <f ca="1">AO21*0.5</f>
        <v>43.5</v>
      </c>
      <c r="AR21" s="233">
        <f ca="1">บช.ทท.!$B$23</f>
        <v>31</v>
      </c>
      <c r="AS21" s="234">
        <f ca="1">บช.ทท.!$C$23</f>
        <v>31</v>
      </c>
      <c r="AT21" s="235">
        <f ca="1">AR21*0.5</f>
        <v>15.5</v>
      </c>
      <c r="AU21" s="238">
        <f ca="1">บช.ตชด.!$B$23</f>
        <v>6</v>
      </c>
      <c r="AV21" s="237">
        <f ca="1">บช.ตชด.!$C$23</f>
        <v>6</v>
      </c>
      <c r="AW21" s="238">
        <f ca="1">AU21*0.5</f>
        <v>3</v>
      </c>
      <c r="AX21" s="581">
        <f t="shared" ca="1" si="18"/>
        <v>5107</v>
      </c>
      <c r="AY21" s="582">
        <f t="shared" ca="1" si="19"/>
        <v>5102</v>
      </c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</row>
    <row r="22" spans="1:80" s="266" customFormat="1" ht="13.5" thickBot="1">
      <c r="A22" s="269" t="s">
        <v>32</v>
      </c>
      <c r="B22" s="270">
        <f ca="1">บช.น.!$B$24</f>
        <v>133</v>
      </c>
      <c r="C22" s="271">
        <f ca="1">บช.น.!$C$24</f>
        <v>187</v>
      </c>
      <c r="D22" s="270">
        <f ca="1">SUM(D15:D21)</f>
        <v>165</v>
      </c>
      <c r="E22" s="270">
        <f ca="1">ภ.1!$B$24</f>
        <v>635</v>
      </c>
      <c r="F22" s="271">
        <f ca="1">ภ.1!$C$24</f>
        <v>648</v>
      </c>
      <c r="G22" s="270">
        <f ca="1">SUM(G15:G21)</f>
        <v>889.5</v>
      </c>
      <c r="H22" s="270">
        <f ca="1">ภ.2!$B$24</f>
        <v>786</v>
      </c>
      <c r="I22" s="271">
        <f ca="1">ภ.2!$C$24</f>
        <v>799</v>
      </c>
      <c r="J22" s="270">
        <f ca="1">SUM(J15:J21)</f>
        <v>850.5</v>
      </c>
      <c r="K22" s="270">
        <f ca="1">ภ.3!$B$24</f>
        <v>869</v>
      </c>
      <c r="L22" s="271">
        <f ca="1">ภ.3!$C$24</f>
        <v>881</v>
      </c>
      <c r="M22" s="270">
        <f ca="1">SUM(M15:M21)</f>
        <v>883</v>
      </c>
      <c r="N22" s="270">
        <f ca="1">ภ.4!$B$24</f>
        <v>3854</v>
      </c>
      <c r="O22" s="271">
        <f ca="1">ภ.4!$C$24</f>
        <v>3859</v>
      </c>
      <c r="P22" s="270">
        <f ca="1">SUM(P15:P21)</f>
        <v>3598</v>
      </c>
      <c r="Q22" s="270">
        <f ca="1">ภ.5!$B$24</f>
        <v>461</v>
      </c>
      <c r="R22" s="271">
        <f ca="1">ภ.5!$C$24</f>
        <v>358</v>
      </c>
      <c r="S22" s="270">
        <f ca="1">SUM(S15:S21)</f>
        <v>773.5</v>
      </c>
      <c r="T22" s="270">
        <f ca="1">ภ.6!$B$24</f>
        <v>599</v>
      </c>
      <c r="U22" s="271">
        <f ca="1">ภ.6!$C$24</f>
        <v>613</v>
      </c>
      <c r="V22" s="270">
        <f ca="1">SUM(V15:V21)</f>
        <v>547</v>
      </c>
      <c r="W22" s="270">
        <f ca="1">ภ.7!$B$24</f>
        <v>652</v>
      </c>
      <c r="X22" s="271">
        <f ca="1">ภ.7!$C$24</f>
        <v>661</v>
      </c>
      <c r="Y22" s="270">
        <f ca="1">SUM(Y15:Y21)</f>
        <v>750</v>
      </c>
      <c r="Z22" s="270">
        <f ca="1">ภ.8!$B$24</f>
        <v>568</v>
      </c>
      <c r="AA22" s="271">
        <f ca="1">ภ.8!$C$24</f>
        <v>581</v>
      </c>
      <c r="AB22" s="270">
        <f ca="1">SUM(AB15:AB21)</f>
        <v>732</v>
      </c>
      <c r="AC22" s="270">
        <f ca="1">ภ.9!$B$24</f>
        <v>487</v>
      </c>
      <c r="AD22" s="271">
        <f ca="1">ภ.9!$C$24</f>
        <v>506</v>
      </c>
      <c r="AE22" s="270">
        <f ca="1">SUM(AE15:AE21)</f>
        <v>535.5</v>
      </c>
      <c r="AF22" s="270">
        <f ca="1">SUM(AF15:AF21)</f>
        <v>170</v>
      </c>
      <c r="AG22" s="270">
        <f t="shared" ref="AG22:AH22" ca="1" si="20">SUM(AG15:AG21)</f>
        <v>256</v>
      </c>
      <c r="AH22" s="270">
        <f t="shared" ca="1" si="20"/>
        <v>257</v>
      </c>
      <c r="AI22" s="270">
        <f ca="1">บช.สอท.!$B$24</f>
        <v>26</v>
      </c>
      <c r="AJ22" s="271">
        <f ca="1">บช.สอท.!$C$24</f>
        <v>28</v>
      </c>
      <c r="AK22" s="270">
        <f ca="1">SUM(AK15:AK21)</f>
        <v>39.5</v>
      </c>
      <c r="AL22" s="270">
        <f ca="1">บช.ปส.!$B$24</f>
        <v>26</v>
      </c>
      <c r="AM22" s="271">
        <f ca="1">บช.ปส.!$C$24</f>
        <v>33</v>
      </c>
      <c r="AN22" s="270">
        <f ca="1">SUM(AN15:AN21)</f>
        <v>50</v>
      </c>
      <c r="AO22" s="270">
        <f ca="1">สตม.!$B$24</f>
        <v>191</v>
      </c>
      <c r="AP22" s="271">
        <f ca="1">สตม.!$C$24</f>
        <v>204</v>
      </c>
      <c r="AQ22" s="270">
        <f ca="1">SUM(AQ15:AQ21)</f>
        <v>239.5</v>
      </c>
      <c r="AR22" s="270">
        <f ca="1">บช.ทท.!$B$24</f>
        <v>74</v>
      </c>
      <c r="AS22" s="271">
        <f ca="1">บช.ทท.!$C$24</f>
        <v>75</v>
      </c>
      <c r="AT22" s="270">
        <f ca="1">SUM(AT15:AT21)</f>
        <v>111.5</v>
      </c>
      <c r="AU22" s="272">
        <f ca="1">บช.ตชด.!$B$24</f>
        <v>19</v>
      </c>
      <c r="AV22" s="271">
        <f ca="1">บช.ตชด.!$C$24</f>
        <v>26</v>
      </c>
      <c r="AW22" s="272">
        <f ca="1">SUM(AW15:AW21)</f>
        <v>27</v>
      </c>
      <c r="AX22" s="579">
        <f ca="1">SUM(AX15:AX21)</f>
        <v>9550</v>
      </c>
      <c r="AY22" s="580">
        <f ca="1">SUM(AY15:AY21)</f>
        <v>9715</v>
      </c>
      <c r="AZ22" s="273"/>
      <c r="BA22" s="273"/>
      <c r="BB22" s="273"/>
      <c r="BC22" s="273"/>
      <c r="BD22" s="273"/>
      <c r="BE22" s="273"/>
      <c r="BF22" s="273"/>
      <c r="BG22" s="273"/>
      <c r="BH22" s="273"/>
      <c r="BI22" s="273"/>
      <c r="BJ22" s="273"/>
      <c r="BK22" s="273"/>
      <c r="BL22" s="273"/>
      <c r="BM22" s="273"/>
      <c r="BN22" s="273"/>
      <c r="BO22" s="273"/>
      <c r="BP22" s="273"/>
      <c r="BQ22" s="273"/>
      <c r="BR22" s="273"/>
      <c r="BS22" s="273"/>
      <c r="BT22" s="273"/>
      <c r="BU22" s="273"/>
      <c r="BV22" s="273"/>
      <c r="BW22" s="273"/>
      <c r="BX22" s="273"/>
      <c r="BY22" s="273"/>
      <c r="BZ22" s="273"/>
      <c r="CA22" s="273"/>
      <c r="CB22" s="273"/>
    </row>
    <row r="23" spans="1:80" ht="13.5" thickBot="1">
      <c r="A23" s="239" t="s">
        <v>41</v>
      </c>
      <c r="B23" s="240"/>
      <c r="C23" s="241"/>
      <c r="D23" s="242"/>
      <c r="E23" s="243"/>
      <c r="F23" s="244"/>
      <c r="G23" s="245"/>
      <c r="H23" s="240"/>
      <c r="I23" s="241"/>
      <c r="J23" s="242"/>
      <c r="K23" s="243"/>
      <c r="L23" s="244"/>
      <c r="M23" s="245"/>
      <c r="N23" s="240"/>
      <c r="O23" s="241"/>
      <c r="P23" s="242"/>
      <c r="Q23" s="243"/>
      <c r="R23" s="244"/>
      <c r="S23" s="245"/>
      <c r="T23" s="240"/>
      <c r="U23" s="241"/>
      <c r="V23" s="242"/>
      <c r="W23" s="243"/>
      <c r="X23" s="244"/>
      <c r="Y23" s="245"/>
      <c r="Z23" s="240"/>
      <c r="AA23" s="241"/>
      <c r="AB23" s="242"/>
      <c r="AC23" s="243"/>
      <c r="AD23" s="244"/>
      <c r="AE23" s="245"/>
      <c r="AF23" s="240"/>
      <c r="AG23" s="241"/>
      <c r="AH23" s="242"/>
      <c r="AI23" s="243"/>
      <c r="AJ23" s="244"/>
      <c r="AK23" s="245"/>
      <c r="AL23" s="240"/>
      <c r="AM23" s="241"/>
      <c r="AN23" s="242"/>
      <c r="AO23" s="243"/>
      <c r="AP23" s="244"/>
      <c r="AQ23" s="245"/>
      <c r="AR23" s="240"/>
      <c r="AS23" s="241"/>
      <c r="AT23" s="242"/>
      <c r="AU23" s="246"/>
      <c r="AV23" s="244"/>
      <c r="AW23" s="245"/>
      <c r="AX23" s="230"/>
      <c r="AY23" s="2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</row>
    <row r="24" spans="1:80" ht="12.75">
      <c r="A24" s="22" t="s">
        <v>42</v>
      </c>
      <c r="B24" s="17">
        <f ca="1">บช.น.!$B$26</f>
        <v>0</v>
      </c>
      <c r="C24" s="18">
        <f ca="1">บช.น.!$C$26</f>
        <v>0</v>
      </c>
      <c r="D24" s="57">
        <f ca="1">B24*5</f>
        <v>0</v>
      </c>
      <c r="E24" s="19">
        <f ca="1">ภ.1!$B$26</f>
        <v>0</v>
      </c>
      <c r="F24" s="20">
        <f ca="1">ภ.1!$C$26</f>
        <v>0</v>
      </c>
      <c r="G24" s="56">
        <f ca="1">E24*5</f>
        <v>0</v>
      </c>
      <c r="H24" s="17">
        <f ca="1">ภ.2!$B$26</f>
        <v>5</v>
      </c>
      <c r="I24" s="18">
        <f ca="1">ภ.2!$C$26</f>
        <v>5</v>
      </c>
      <c r="J24" s="57">
        <f ca="1">H24*5</f>
        <v>25</v>
      </c>
      <c r="K24" s="19">
        <f ca="1">ภ.3!$B$26</f>
        <v>0</v>
      </c>
      <c r="L24" s="20">
        <f ca="1">ภ.3!$C$26</f>
        <v>0</v>
      </c>
      <c r="M24" s="56">
        <f ca="1">K24*5</f>
        <v>0</v>
      </c>
      <c r="N24" s="17">
        <f ca="1">ภ.4!$B$26</f>
        <v>1</v>
      </c>
      <c r="O24" s="18">
        <f ca="1">ภ.4!$C$26</f>
        <v>1</v>
      </c>
      <c r="P24" s="57">
        <f ca="1">N24*5</f>
        <v>5</v>
      </c>
      <c r="Q24" s="19">
        <f ca="1">ภ.5!$B$26</f>
        <v>1</v>
      </c>
      <c r="R24" s="20">
        <f ca="1">ภ.5!$C$26</f>
        <v>2</v>
      </c>
      <c r="S24" s="56">
        <f ca="1">Q24*5</f>
        <v>5</v>
      </c>
      <c r="T24" s="17">
        <f ca="1">ภ.6!$B$26</f>
        <v>0</v>
      </c>
      <c r="U24" s="18">
        <f ca="1">ภ.6!$C$26</f>
        <v>0</v>
      </c>
      <c r="V24" s="57">
        <f ca="1">T24*5</f>
        <v>0</v>
      </c>
      <c r="W24" s="19">
        <f ca="1">ภ.7!$B$26</f>
        <v>0</v>
      </c>
      <c r="X24" s="20">
        <f ca="1">ภ.7!$C$26</f>
        <v>0</v>
      </c>
      <c r="Y24" s="56">
        <f ca="1">W24*5</f>
        <v>0</v>
      </c>
      <c r="Z24" s="17">
        <f ca="1">ภ.8!$B$26</f>
        <v>0</v>
      </c>
      <c r="AA24" s="18">
        <f ca="1">ภ.8!$C$26</f>
        <v>0</v>
      </c>
      <c r="AB24" s="57">
        <f ca="1">Z24*5</f>
        <v>0</v>
      </c>
      <c r="AC24" s="19">
        <f ca="1">ภ.9!$B$26</f>
        <v>3</v>
      </c>
      <c r="AD24" s="20">
        <f ca="1">ภ.9!$C$26</f>
        <v>3</v>
      </c>
      <c r="AE24" s="56">
        <f ca="1">AC24*5</f>
        <v>15</v>
      </c>
      <c r="AF24" s="17">
        <v>3</v>
      </c>
      <c r="AG24" s="18">
        <f ca="1">บช.ก.!$D$26</f>
        <v>3</v>
      </c>
      <c r="AH24" s="57">
        <f>AF24*5</f>
        <v>15</v>
      </c>
      <c r="AI24" s="19">
        <f ca="1">บช.สอท.!$B$26</f>
        <v>1</v>
      </c>
      <c r="AJ24" s="20">
        <f ca="1">บช.สอท.!$C$26</f>
        <v>1</v>
      </c>
      <c r="AK24" s="56">
        <f ca="1">AI24*5</f>
        <v>5</v>
      </c>
      <c r="AL24" s="17">
        <f ca="1">บช.ปส.!$B$26</f>
        <v>0</v>
      </c>
      <c r="AM24" s="18">
        <f ca="1">บช.ปส.!$C$26</f>
        <v>0</v>
      </c>
      <c r="AN24" s="57">
        <f ca="1">AL24*5</f>
        <v>0</v>
      </c>
      <c r="AO24" s="19">
        <f ca="1">สตม.!$B$26</f>
        <v>0</v>
      </c>
      <c r="AP24" s="20">
        <f ca="1">สตม.!$C$26</f>
        <v>0</v>
      </c>
      <c r="AQ24" s="56">
        <f ca="1">AO24*5</f>
        <v>0</v>
      </c>
      <c r="AR24" s="17">
        <f ca="1">บช.ทท.!$B$26</f>
        <v>1</v>
      </c>
      <c r="AS24" s="18">
        <f ca="1">บช.ทท.!$C$26</f>
        <v>1</v>
      </c>
      <c r="AT24" s="57">
        <f ca="1">AR24*5</f>
        <v>5</v>
      </c>
      <c r="AU24" s="56">
        <f ca="1">บช.ตชด.!$B$26</f>
        <v>0</v>
      </c>
      <c r="AV24" s="20">
        <f ca="1">บช.ตชด.!$C$26</f>
        <v>0</v>
      </c>
      <c r="AW24" s="56">
        <f ca="1">AU24*5</f>
        <v>0</v>
      </c>
      <c r="AX24" s="228">
        <f ca="1">SUM(B24,E24,H24,K24,N24,Q24,T24,W24,Z24,AC24,AF24,AI24,AL24,AO24,AR24,AU24)</f>
        <v>15</v>
      </c>
      <c r="AY24" s="229">
        <f ca="1">SUM(C24,F24,I24,L24,O24,R24,U24,X24,AA24,AD24,AG24,AJ24,AM24,AP24,AS24,AV24)</f>
        <v>16</v>
      </c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</row>
    <row r="25" spans="1:80" ht="12.75">
      <c r="A25" s="22" t="s">
        <v>43</v>
      </c>
      <c r="B25" s="17">
        <f ca="1">บช.น.!$B$27</f>
        <v>0</v>
      </c>
      <c r="C25" s="18">
        <f ca="1">บช.น.!$C$27</f>
        <v>0</v>
      </c>
      <c r="D25" s="57">
        <f ca="1">B25*3</f>
        <v>0</v>
      </c>
      <c r="E25" s="19">
        <f ca="1">ภ.1!$B$27</f>
        <v>0</v>
      </c>
      <c r="F25" s="20">
        <f ca="1">ภ.1!$C$27</f>
        <v>0</v>
      </c>
      <c r="G25" s="56">
        <f ca="1">E25*3</f>
        <v>0</v>
      </c>
      <c r="H25" s="17">
        <f ca="1">ภ.2!$B$27</f>
        <v>0</v>
      </c>
      <c r="I25" s="18">
        <f ca="1">ภ.2!$C$27</f>
        <v>0</v>
      </c>
      <c r="J25" s="57">
        <f ca="1">H25*3</f>
        <v>0</v>
      </c>
      <c r="K25" s="19">
        <f ca="1">ภ.3!$B$27</f>
        <v>0</v>
      </c>
      <c r="L25" s="20">
        <f ca="1">ภ.3!$C$27</f>
        <v>0</v>
      </c>
      <c r="M25" s="56">
        <f ca="1">K25*3</f>
        <v>0</v>
      </c>
      <c r="N25" s="17">
        <f ca="1">ภ.4!$B$27</f>
        <v>5</v>
      </c>
      <c r="O25" s="18">
        <f ca="1">ภ.4!$C$27</f>
        <v>5</v>
      </c>
      <c r="P25" s="57">
        <f ca="1">N25*3</f>
        <v>15</v>
      </c>
      <c r="Q25" s="19">
        <f ca="1">ภ.5!$B$27</f>
        <v>1</v>
      </c>
      <c r="R25" s="20">
        <f ca="1">ภ.5!$C$27</f>
        <v>1</v>
      </c>
      <c r="S25" s="56">
        <f ca="1">Q25*3</f>
        <v>3</v>
      </c>
      <c r="T25" s="17">
        <f ca="1">ภ.6!$B$27</f>
        <v>6</v>
      </c>
      <c r="U25" s="18">
        <f ca="1">ภ.6!$C$27</f>
        <v>7</v>
      </c>
      <c r="V25" s="57">
        <f ca="1">T25*3</f>
        <v>18</v>
      </c>
      <c r="W25" s="19">
        <f ca="1">ภ.7!$B$27</f>
        <v>3</v>
      </c>
      <c r="X25" s="20">
        <f ca="1">ภ.7!$C$27</f>
        <v>3</v>
      </c>
      <c r="Y25" s="56">
        <f ca="1">W25*3</f>
        <v>9</v>
      </c>
      <c r="Z25" s="17">
        <f ca="1">ภ.8!$B$27</f>
        <v>0</v>
      </c>
      <c r="AA25" s="18">
        <f ca="1">ภ.8!$C$27</f>
        <v>0</v>
      </c>
      <c r="AB25" s="57">
        <f ca="1">Z25*3</f>
        <v>0</v>
      </c>
      <c r="AC25" s="19">
        <f ca="1">ภ.9!$B$27</f>
        <v>3</v>
      </c>
      <c r="AD25" s="20">
        <f ca="1">ภ.9!$C$27</f>
        <v>4</v>
      </c>
      <c r="AE25" s="56">
        <f ca="1">AC25*3</f>
        <v>9</v>
      </c>
      <c r="AF25" s="17">
        <f ca="1">บช.ก.!$C$27</f>
        <v>7</v>
      </c>
      <c r="AG25" s="18">
        <f ca="1">บช.ก.!$D$27</f>
        <v>9</v>
      </c>
      <c r="AH25" s="57">
        <f ca="1">AF25*3</f>
        <v>21</v>
      </c>
      <c r="AI25" s="19">
        <f ca="1">บช.สอท.!$B$27</f>
        <v>0</v>
      </c>
      <c r="AJ25" s="20">
        <f ca="1">บช.สอท.!$C$27</f>
        <v>0</v>
      </c>
      <c r="AK25" s="56">
        <f ca="1">AI25*3</f>
        <v>0</v>
      </c>
      <c r="AL25" s="17">
        <f ca="1">บช.ปส.!$B$27</f>
        <v>0</v>
      </c>
      <c r="AM25" s="18">
        <f ca="1">บช.ปส.!$C$27</f>
        <v>0</v>
      </c>
      <c r="AN25" s="57">
        <f ca="1">AL25*3</f>
        <v>0</v>
      </c>
      <c r="AO25" s="19">
        <f ca="1">สตม.!$B$27</f>
        <v>25</v>
      </c>
      <c r="AP25" s="20">
        <f ca="1">สตม.!$C$27</f>
        <v>28</v>
      </c>
      <c r="AQ25" s="56">
        <f ca="1">AO25*3</f>
        <v>75</v>
      </c>
      <c r="AR25" s="17">
        <f ca="1">บช.ทท.!$B$27</f>
        <v>6</v>
      </c>
      <c r="AS25" s="18">
        <f ca="1">บช.ทท.!$C$27</f>
        <v>7</v>
      </c>
      <c r="AT25" s="57">
        <f ca="1">AR25*3</f>
        <v>18</v>
      </c>
      <c r="AU25" s="56">
        <f ca="1">บช.ตชด.!$B$27</f>
        <v>0</v>
      </c>
      <c r="AV25" s="20">
        <f ca="1">บช.ตชด.!$C$27</f>
        <v>0</v>
      </c>
      <c r="AW25" s="56">
        <f ca="1">AU25*3</f>
        <v>0</v>
      </c>
      <c r="AX25" s="197">
        <f t="shared" ref="AX25:AX26" ca="1" si="21">SUM(B25,E25,H25,K25,N25,Q25,T25,W25,Z25,AC25,AF25,AI25,AL25,AO25,AR25,AU25)</f>
        <v>56</v>
      </c>
      <c r="AY25" s="227">
        <f t="shared" ref="AY25:AY26" ca="1" si="22">SUM(C25,F25,I25,L25,O25,R25,U25,X25,AA25,AD25,AG25,AJ25,AM25,AP25,AS25,AV25)</f>
        <v>64</v>
      </c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</row>
    <row r="26" spans="1:80" ht="13.5" thickBot="1">
      <c r="A26" s="232" t="s">
        <v>44</v>
      </c>
      <c r="B26" s="233">
        <f ca="1">บช.น.!$B$28</f>
        <v>301</v>
      </c>
      <c r="C26" s="234">
        <f ca="1">บช.น.!$C$28</f>
        <v>306</v>
      </c>
      <c r="D26" s="235">
        <f ca="1">B26*0.5</f>
        <v>150.5</v>
      </c>
      <c r="E26" s="236">
        <f ca="1">ภ.1!$B$28</f>
        <v>90</v>
      </c>
      <c r="F26" s="237">
        <f ca="1">ภ.1!$C$28</f>
        <v>91</v>
      </c>
      <c r="G26" s="238">
        <f ca="1">E26*0.5</f>
        <v>45</v>
      </c>
      <c r="H26" s="233">
        <f ca="1">ภ.2!$B$28</f>
        <v>102</v>
      </c>
      <c r="I26" s="234">
        <f ca="1">ภ.2!$C$28</f>
        <v>102</v>
      </c>
      <c r="J26" s="235">
        <f ca="1">H26*0.5</f>
        <v>51</v>
      </c>
      <c r="K26" s="236">
        <f ca="1">ภ.3!$B$28</f>
        <v>8</v>
      </c>
      <c r="L26" s="237">
        <f ca="1">ภ.3!$C$28</f>
        <v>8</v>
      </c>
      <c r="M26" s="238">
        <f ca="1">K26*0.5</f>
        <v>4</v>
      </c>
      <c r="N26" s="233">
        <f ca="1">ภ.4!$B$28</f>
        <v>87</v>
      </c>
      <c r="O26" s="234">
        <f ca="1">ภ.4!$C$28</f>
        <v>87</v>
      </c>
      <c r="P26" s="235">
        <f ca="1">N26*0.5</f>
        <v>43.5</v>
      </c>
      <c r="Q26" s="236">
        <f ca="1">ภ.5!$B$28</f>
        <v>51</v>
      </c>
      <c r="R26" s="237">
        <f ca="1">ภ.5!$C$28</f>
        <v>51</v>
      </c>
      <c r="S26" s="238">
        <f ca="1">Q26*0.5</f>
        <v>25.5</v>
      </c>
      <c r="T26" s="233">
        <f ca="1">ภ.6!$B$28</f>
        <v>84</v>
      </c>
      <c r="U26" s="234">
        <f ca="1">ภ.6!$C$28</f>
        <v>84</v>
      </c>
      <c r="V26" s="235">
        <f ca="1">T26*0.5</f>
        <v>42</v>
      </c>
      <c r="W26" s="236">
        <f ca="1">ภ.7!$B$28</f>
        <v>87</v>
      </c>
      <c r="X26" s="237">
        <f ca="1">ภ.7!$C$28</f>
        <v>146</v>
      </c>
      <c r="Y26" s="238">
        <f ca="1">W26*0.5</f>
        <v>43.5</v>
      </c>
      <c r="Z26" s="233">
        <f ca="1">ภ.8!$B$28</f>
        <v>9</v>
      </c>
      <c r="AA26" s="234">
        <f ca="1">ภ.8!$C$28</f>
        <v>9</v>
      </c>
      <c r="AB26" s="235">
        <f ca="1">Z26*0.5</f>
        <v>4.5</v>
      </c>
      <c r="AC26" s="236">
        <f ca="1">ภ.9!$B$28</f>
        <v>11</v>
      </c>
      <c r="AD26" s="237">
        <f ca="1">ภ.9!$C$28</f>
        <v>51</v>
      </c>
      <c r="AE26" s="238">
        <f ca="1">AC26*0.5</f>
        <v>5.5</v>
      </c>
      <c r="AF26" s="233">
        <v>47</v>
      </c>
      <c r="AG26" s="234">
        <v>108</v>
      </c>
      <c r="AH26" s="235">
        <f>AF26*0.5</f>
        <v>23.5</v>
      </c>
      <c r="AI26" s="236">
        <f ca="1">บช.สอท.!$B$28</f>
        <v>7</v>
      </c>
      <c r="AJ26" s="237">
        <f ca="1">บช.สอท.!$C$28</f>
        <v>11</v>
      </c>
      <c r="AK26" s="238">
        <f ca="1">AI26*0.5</f>
        <v>3.5</v>
      </c>
      <c r="AL26" s="233">
        <f ca="1">บช.ปส.!$B$28</f>
        <v>1</v>
      </c>
      <c r="AM26" s="234">
        <f ca="1">บช.ปส.!$C$28</f>
        <v>1</v>
      </c>
      <c r="AN26" s="235">
        <f ca="1">AL26*0.5</f>
        <v>0.5</v>
      </c>
      <c r="AO26" s="236">
        <f ca="1">สตม.!$B$28</f>
        <v>648</v>
      </c>
      <c r="AP26" s="237">
        <f ca="1">สตม.!$C$28</f>
        <v>928</v>
      </c>
      <c r="AQ26" s="238">
        <f ca="1">AO26*0.5</f>
        <v>324</v>
      </c>
      <c r="AR26" s="233">
        <f ca="1">บช.ทท.!$B$28</f>
        <v>31</v>
      </c>
      <c r="AS26" s="234">
        <f ca="1">บช.ทท.!$C$28</f>
        <v>48</v>
      </c>
      <c r="AT26" s="235">
        <f ca="1">AR26*0.5</f>
        <v>15.5</v>
      </c>
      <c r="AU26" s="238">
        <f ca="1">บช.ตชด.!$B$28</f>
        <v>16</v>
      </c>
      <c r="AV26" s="237">
        <f ca="1">บช.ตชด.!$C$28</f>
        <v>80</v>
      </c>
      <c r="AW26" s="238">
        <f ca="1">AU26*0.5</f>
        <v>8</v>
      </c>
      <c r="AX26" s="577">
        <f t="shared" ca="1" si="21"/>
        <v>1580</v>
      </c>
      <c r="AY26" s="578">
        <f t="shared" ca="1" si="22"/>
        <v>2111</v>
      </c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</row>
    <row r="27" spans="1:80" s="266" customFormat="1" ht="13.5" thickBot="1">
      <c r="A27" s="269" t="s">
        <v>32</v>
      </c>
      <c r="B27" s="270">
        <f ca="1">บช.น.!$B$29</f>
        <v>301</v>
      </c>
      <c r="C27" s="271">
        <f ca="1">บช.น.!$C$29</f>
        <v>306</v>
      </c>
      <c r="D27" s="270">
        <f ca="1">SUM(D24:D26)</f>
        <v>150.5</v>
      </c>
      <c r="E27" s="270">
        <f ca="1">ภ.1!$B$29</f>
        <v>90</v>
      </c>
      <c r="F27" s="271">
        <f ca="1">ภ.1!$C$29</f>
        <v>91</v>
      </c>
      <c r="G27" s="270">
        <f ca="1">SUM(G24:G26)</f>
        <v>45</v>
      </c>
      <c r="H27" s="270">
        <f ca="1">ภ.2!$B$29</f>
        <v>107</v>
      </c>
      <c r="I27" s="271">
        <f ca="1">ภ.2!$C$29</f>
        <v>107</v>
      </c>
      <c r="J27" s="270">
        <f ca="1">SUM(J24:J26)</f>
        <v>76</v>
      </c>
      <c r="K27" s="270">
        <f ca="1">ภ.3!$B$29</f>
        <v>8</v>
      </c>
      <c r="L27" s="271">
        <f ca="1">ภ.3!$C$29</f>
        <v>8</v>
      </c>
      <c r="M27" s="270">
        <f ca="1">SUM(M24:M26)</f>
        <v>4</v>
      </c>
      <c r="N27" s="270">
        <f ca="1">ภ.4!$B$29</f>
        <v>93</v>
      </c>
      <c r="O27" s="271">
        <f ca="1">ภ.4!$C$29</f>
        <v>93</v>
      </c>
      <c r="P27" s="270">
        <f ca="1">SUM(P24:P26)</f>
        <v>63.5</v>
      </c>
      <c r="Q27" s="270">
        <f ca="1">ภ.5!$B$29</f>
        <v>53</v>
      </c>
      <c r="R27" s="271">
        <f ca="1">ภ.5!$C$29</f>
        <v>54</v>
      </c>
      <c r="S27" s="270">
        <f ca="1">SUM(S24:S26)</f>
        <v>33.5</v>
      </c>
      <c r="T27" s="270">
        <f ca="1">ภ.6!$B$29</f>
        <v>90</v>
      </c>
      <c r="U27" s="271">
        <f ca="1">ภ.6!$C$29</f>
        <v>91</v>
      </c>
      <c r="V27" s="270">
        <f ca="1">SUM(V24:V26)</f>
        <v>60</v>
      </c>
      <c r="W27" s="270">
        <f ca="1">ภ.7!$B$29</f>
        <v>90</v>
      </c>
      <c r="X27" s="271">
        <f ca="1">ภ.7!$C$29</f>
        <v>149</v>
      </c>
      <c r="Y27" s="270">
        <f ca="1">SUM(Y24:Y26)</f>
        <v>52.5</v>
      </c>
      <c r="Z27" s="270">
        <f ca="1">ภ.8!$B$29</f>
        <v>9</v>
      </c>
      <c r="AA27" s="271">
        <f ca="1">ภ.8!$C$29</f>
        <v>9</v>
      </c>
      <c r="AB27" s="270">
        <f ca="1">SUM(AB24:AB26)</f>
        <v>4.5</v>
      </c>
      <c r="AC27" s="270">
        <f ca="1">ภ.9!$B$29</f>
        <v>17</v>
      </c>
      <c r="AD27" s="271">
        <f ca="1">ภ.9!$C$29</f>
        <v>58</v>
      </c>
      <c r="AE27" s="270">
        <f ca="1">SUM(AE24:AE26)</f>
        <v>29.5</v>
      </c>
      <c r="AF27" s="270">
        <f ca="1">SUM(AF24:AF26)</f>
        <v>57</v>
      </c>
      <c r="AG27" s="270">
        <f ca="1">SUM(AG24:AG26)</f>
        <v>120</v>
      </c>
      <c r="AH27" s="270">
        <f ca="1">SUM(AH24:AH26)</f>
        <v>59.5</v>
      </c>
      <c r="AI27" s="270">
        <f ca="1">บช.สอท.!$B$29</f>
        <v>8</v>
      </c>
      <c r="AJ27" s="271">
        <f ca="1">บช.สอท.!$C$29</f>
        <v>12</v>
      </c>
      <c r="AK27" s="270">
        <f ca="1">SUM(AK24:AK26)</f>
        <v>8.5</v>
      </c>
      <c r="AL27" s="270">
        <f ca="1">บช.ปส.!$B$29</f>
        <v>1</v>
      </c>
      <c r="AM27" s="271">
        <f ca="1">บช.ปส.!$C$29</f>
        <v>1</v>
      </c>
      <c r="AN27" s="270">
        <f ca="1">SUM(AN24:AN26)</f>
        <v>0.5</v>
      </c>
      <c r="AO27" s="270">
        <f ca="1">สตม.!$B$29</f>
        <v>673</v>
      </c>
      <c r="AP27" s="271">
        <f ca="1">สตม.!$C$29</f>
        <v>956</v>
      </c>
      <c r="AQ27" s="270">
        <f ca="1">SUM(AQ24:AQ26)</f>
        <v>399</v>
      </c>
      <c r="AR27" s="270">
        <f ca="1">บช.ทท.!$B$29</f>
        <v>38</v>
      </c>
      <c r="AS27" s="271">
        <f ca="1">บช.ทท.!$C$29</f>
        <v>56</v>
      </c>
      <c r="AT27" s="270">
        <f ca="1">SUM(AT24:AT26)</f>
        <v>38.5</v>
      </c>
      <c r="AU27" s="272">
        <f ca="1">บช.ตชด.!$B$29</f>
        <v>16</v>
      </c>
      <c r="AV27" s="271">
        <f ca="1">บช.ตชด.!$C$29</f>
        <v>80</v>
      </c>
      <c r="AW27" s="272">
        <f ca="1">SUM(AW24:AW26)</f>
        <v>8</v>
      </c>
      <c r="AX27" s="579">
        <f ca="1">SUM(AX24:AX26)</f>
        <v>1651</v>
      </c>
      <c r="AY27" s="580">
        <f ca="1">SUM(AY24:AY26)</f>
        <v>2191</v>
      </c>
      <c r="AZ27" s="273"/>
      <c r="BA27" s="273"/>
      <c r="BB27" s="273"/>
      <c r="BC27" s="273"/>
      <c r="BD27" s="273"/>
      <c r="BE27" s="273"/>
      <c r="BF27" s="273"/>
      <c r="BG27" s="273"/>
      <c r="BH27" s="273"/>
      <c r="BI27" s="273"/>
      <c r="BJ27" s="273"/>
      <c r="BK27" s="273"/>
      <c r="BL27" s="273"/>
      <c r="BM27" s="273"/>
      <c r="BN27" s="273"/>
      <c r="BO27" s="273"/>
      <c r="BP27" s="273"/>
      <c r="BQ27" s="273"/>
      <c r="BR27" s="273"/>
      <c r="BS27" s="273"/>
      <c r="BT27" s="273"/>
      <c r="BU27" s="273"/>
      <c r="BV27" s="273"/>
      <c r="BW27" s="273"/>
      <c r="BX27" s="273"/>
      <c r="BY27" s="273"/>
      <c r="BZ27" s="273"/>
      <c r="CA27" s="273"/>
      <c r="CB27" s="273"/>
    </row>
    <row r="28" spans="1:80" ht="13.5" thickBot="1">
      <c r="A28" s="239" t="s">
        <v>45</v>
      </c>
      <c r="B28" s="240"/>
      <c r="C28" s="241"/>
      <c r="D28" s="242"/>
      <c r="E28" s="243"/>
      <c r="F28" s="244"/>
      <c r="G28" s="245"/>
      <c r="H28" s="240"/>
      <c r="I28" s="241"/>
      <c r="J28" s="242"/>
      <c r="K28" s="243"/>
      <c r="L28" s="244"/>
      <c r="M28" s="245"/>
      <c r="N28" s="240"/>
      <c r="O28" s="241"/>
      <c r="P28" s="242"/>
      <c r="Q28" s="243"/>
      <c r="R28" s="244"/>
      <c r="S28" s="245"/>
      <c r="T28" s="240"/>
      <c r="U28" s="241"/>
      <c r="V28" s="242"/>
      <c r="W28" s="243"/>
      <c r="X28" s="244"/>
      <c r="Y28" s="245"/>
      <c r="Z28" s="240"/>
      <c r="AA28" s="241"/>
      <c r="AB28" s="242"/>
      <c r="AC28" s="243"/>
      <c r="AD28" s="244"/>
      <c r="AE28" s="245"/>
      <c r="AF28" s="240"/>
      <c r="AG28" s="241"/>
      <c r="AH28" s="242"/>
      <c r="AI28" s="243"/>
      <c r="AJ28" s="244"/>
      <c r="AK28" s="245"/>
      <c r="AL28" s="240"/>
      <c r="AM28" s="241"/>
      <c r="AN28" s="242"/>
      <c r="AO28" s="243"/>
      <c r="AP28" s="244"/>
      <c r="AQ28" s="245"/>
      <c r="AR28" s="240"/>
      <c r="AS28" s="241"/>
      <c r="AT28" s="242"/>
      <c r="AU28" s="246"/>
      <c r="AV28" s="244"/>
      <c r="AW28" s="245"/>
      <c r="AX28" s="230"/>
      <c r="AY28" s="2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</row>
    <row r="29" spans="1:80" ht="12.75">
      <c r="A29" s="22" t="s">
        <v>46</v>
      </c>
      <c r="B29" s="17">
        <f ca="1">บช.น.!$B$31</f>
        <v>3</v>
      </c>
      <c r="C29" s="18">
        <f ca="1">บช.น.!$C$31</f>
        <v>5</v>
      </c>
      <c r="D29" s="57">
        <f ca="1">B29*3</f>
        <v>9</v>
      </c>
      <c r="E29" s="19">
        <f ca="1">ภ.1!$B$31</f>
        <v>0</v>
      </c>
      <c r="F29" s="20">
        <f ca="1">ภ.1!$C$31</f>
        <v>0</v>
      </c>
      <c r="G29" s="56">
        <f ca="1">E29*3</f>
        <v>0</v>
      </c>
      <c r="H29" s="17">
        <f ca="1">ภ.2!$B$31</f>
        <v>1</v>
      </c>
      <c r="I29" s="18">
        <f ca="1">ภ.2!$C$31</f>
        <v>1</v>
      </c>
      <c r="J29" s="57">
        <f ca="1">H29*3</f>
        <v>3</v>
      </c>
      <c r="K29" s="19">
        <f ca="1">ภ.3!$B$31</f>
        <v>0</v>
      </c>
      <c r="L29" s="20">
        <f ca="1">ภ.3!$C$31</f>
        <v>0</v>
      </c>
      <c r="M29" s="56">
        <f ca="1">K29*3</f>
        <v>0</v>
      </c>
      <c r="N29" s="17">
        <f ca="1">ภ.4!$B$31</f>
        <v>1</v>
      </c>
      <c r="O29" s="18">
        <f ca="1">ภ.4!$C$31</f>
        <v>1</v>
      </c>
      <c r="P29" s="57">
        <f ca="1">N29*3</f>
        <v>3</v>
      </c>
      <c r="Q29" s="19">
        <f ca="1">ภ.5!$B$31</f>
        <v>0</v>
      </c>
      <c r="R29" s="20">
        <f ca="1">ภ.5!$C$31</f>
        <v>0</v>
      </c>
      <c r="S29" s="56">
        <f ca="1">Q29*3</f>
        <v>0</v>
      </c>
      <c r="T29" s="17">
        <f ca="1">ภ.6!$B$31</f>
        <v>0</v>
      </c>
      <c r="U29" s="18">
        <f ca="1">ภ.6!$C$31</f>
        <v>0</v>
      </c>
      <c r="V29" s="57">
        <f ca="1">T29*3</f>
        <v>0</v>
      </c>
      <c r="W29" s="19">
        <f ca="1">ภ.7!$B$31</f>
        <v>0</v>
      </c>
      <c r="X29" s="20">
        <f ca="1">ภ.7!$C$31</f>
        <v>0</v>
      </c>
      <c r="Y29" s="56">
        <f ca="1">W29*3</f>
        <v>0</v>
      </c>
      <c r="Z29" s="17">
        <f ca="1">ภ.8!$B$31</f>
        <v>0</v>
      </c>
      <c r="AA29" s="18">
        <f ca="1">ภ.8!$C$31</f>
        <v>0</v>
      </c>
      <c r="AB29" s="57">
        <f ca="1">Z29*3</f>
        <v>0</v>
      </c>
      <c r="AC29" s="19">
        <f ca="1">ภ.9!$B$31</f>
        <v>0</v>
      </c>
      <c r="AD29" s="20">
        <f ca="1">ภ.9!$C$31</f>
        <v>0</v>
      </c>
      <c r="AE29" s="56">
        <f ca="1">AC29*3</f>
        <v>0</v>
      </c>
      <c r="AF29" s="17">
        <f ca="1">บช.ก.!$C$31</f>
        <v>0</v>
      </c>
      <c r="AG29" s="18">
        <f ca="1">บช.ก.!$D$31</f>
        <v>0</v>
      </c>
      <c r="AH29" s="57">
        <f ca="1">AF29*3</f>
        <v>0</v>
      </c>
      <c r="AI29" s="19">
        <f ca="1">บช.สอท.!$B$31</f>
        <v>1</v>
      </c>
      <c r="AJ29" s="20">
        <f ca="1">บช.สอท.!$C$31</f>
        <v>1</v>
      </c>
      <c r="AK29" s="56">
        <f ca="1">AI29*3</f>
        <v>3</v>
      </c>
      <c r="AL29" s="17">
        <f ca="1">บช.ปส.!$B$31</f>
        <v>0</v>
      </c>
      <c r="AM29" s="18">
        <f ca="1">บช.ปส.!$C$31</f>
        <v>0</v>
      </c>
      <c r="AN29" s="57">
        <f ca="1">AL29*3</f>
        <v>0</v>
      </c>
      <c r="AO29" s="19">
        <f ca="1">สตม.!$B$31</f>
        <v>0</v>
      </c>
      <c r="AP29" s="20">
        <f ca="1">สตม.!$C$31</f>
        <v>0</v>
      </c>
      <c r="AQ29" s="56">
        <f ca="1">AO29*3</f>
        <v>0</v>
      </c>
      <c r="AR29" s="17">
        <f ca="1">บช.ทท.!$B$31</f>
        <v>0</v>
      </c>
      <c r="AS29" s="18">
        <f ca="1">บช.ทท.!$C$31</f>
        <v>0</v>
      </c>
      <c r="AT29" s="57">
        <f ca="1">AR29*3</f>
        <v>0</v>
      </c>
      <c r="AU29" s="56">
        <f ca="1">บช.ตชด.!$B$31</f>
        <v>0</v>
      </c>
      <c r="AV29" s="20">
        <f ca="1">บช.ตชด.!$C$31</f>
        <v>0</v>
      </c>
      <c r="AW29" s="56">
        <f ca="1">AU29*3</f>
        <v>0</v>
      </c>
      <c r="AX29" s="228">
        <f ca="1">SUM(B29,E29,H29,K29,N29,Q29,T29,W29,Z29,AC29,AF29,AI29,AL29,AO29,AR29,AU29)</f>
        <v>6</v>
      </c>
      <c r="AY29" s="229">
        <f ca="1">SUM(C29,F29,I29,L29,O29,R29,U29,X29,AA29,AD29,AG29,AJ29,AM29,AP29,AS29,AV29)</f>
        <v>8</v>
      </c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</row>
    <row r="30" spans="1:80" ht="12.75">
      <c r="A30" s="22" t="s">
        <v>47</v>
      </c>
      <c r="B30" s="17">
        <f ca="1">บช.น.!$B$32</f>
        <v>16</v>
      </c>
      <c r="C30" s="18">
        <f ca="1">บช.น.!$C$32</f>
        <v>17</v>
      </c>
      <c r="D30" s="57">
        <f ca="1">B30*2</f>
        <v>32</v>
      </c>
      <c r="E30" s="19">
        <f ca="1">ภ.1!$B$32</f>
        <v>73</v>
      </c>
      <c r="F30" s="20">
        <f ca="1">ภ.1!$C$32</f>
        <v>73</v>
      </c>
      <c r="G30" s="56">
        <f ca="1">E30*2</f>
        <v>146</v>
      </c>
      <c r="H30" s="17">
        <f ca="1">ภ.2!$B$32</f>
        <v>83</v>
      </c>
      <c r="I30" s="18">
        <f ca="1">ภ.2!$C$32</f>
        <v>83</v>
      </c>
      <c r="J30" s="57">
        <f ca="1">H30*2</f>
        <v>166</v>
      </c>
      <c r="K30" s="19">
        <f ca="1">ภ.3!$B$32</f>
        <v>64</v>
      </c>
      <c r="L30" s="20">
        <f ca="1">ภ.3!$C$32</f>
        <v>65</v>
      </c>
      <c r="M30" s="56">
        <f ca="1">K30*2</f>
        <v>128</v>
      </c>
      <c r="N30" s="17">
        <f ca="1">ภ.4!$B$32</f>
        <v>239</v>
      </c>
      <c r="O30" s="18">
        <f ca="1">ภ.4!$C$32</f>
        <v>234</v>
      </c>
      <c r="P30" s="57">
        <f ca="1">N30*2</f>
        <v>478</v>
      </c>
      <c r="Q30" s="19">
        <f ca="1">ภ.5!$B$32</f>
        <v>29</v>
      </c>
      <c r="R30" s="20">
        <f ca="1">ภ.5!$C$32</f>
        <v>23</v>
      </c>
      <c r="S30" s="56">
        <f ca="1">Q30*2</f>
        <v>58</v>
      </c>
      <c r="T30" s="17">
        <f ca="1">ภ.6!$B$32</f>
        <v>58</v>
      </c>
      <c r="U30" s="18">
        <f ca="1">ภ.6!$C$32</f>
        <v>57</v>
      </c>
      <c r="V30" s="57">
        <f ca="1">T30*2</f>
        <v>116</v>
      </c>
      <c r="W30" s="19">
        <f ca="1">ภ.7!$B$32</f>
        <v>127</v>
      </c>
      <c r="X30" s="20">
        <f ca="1">ภ.7!$C$32</f>
        <v>127</v>
      </c>
      <c r="Y30" s="56">
        <f ca="1">W30*2</f>
        <v>254</v>
      </c>
      <c r="Z30" s="17">
        <f ca="1">ภ.8!$B$32</f>
        <v>47</v>
      </c>
      <c r="AA30" s="18">
        <f ca="1">ภ.8!$C$32</f>
        <v>44</v>
      </c>
      <c r="AB30" s="57">
        <f ca="1">Z30*2</f>
        <v>94</v>
      </c>
      <c r="AC30" s="19">
        <f ca="1">ภ.9!$B$32</f>
        <v>24</v>
      </c>
      <c r="AD30" s="20">
        <f ca="1">ภ.9!$C$32</f>
        <v>25</v>
      </c>
      <c r="AE30" s="56">
        <f ca="1">AC30*2</f>
        <v>48</v>
      </c>
      <c r="AF30" s="17">
        <f ca="1">บช.ก.!$C$32</f>
        <v>25</v>
      </c>
      <c r="AG30" s="18">
        <f ca="1">บช.ก.!$D$32</f>
        <v>24</v>
      </c>
      <c r="AH30" s="57">
        <f ca="1">AF30*2</f>
        <v>50</v>
      </c>
      <c r="AI30" s="19">
        <f ca="1">บช.สอท.!$B$32</f>
        <v>16</v>
      </c>
      <c r="AJ30" s="20">
        <f ca="1">บช.สอท.!$C$32</f>
        <v>16</v>
      </c>
      <c r="AK30" s="56">
        <f ca="1">AI30*2</f>
        <v>32</v>
      </c>
      <c r="AL30" s="17">
        <f ca="1">บช.ปส.!$B$32</f>
        <v>1</v>
      </c>
      <c r="AM30" s="18">
        <f ca="1">บช.ปส.!$C$32</f>
        <v>1</v>
      </c>
      <c r="AN30" s="57">
        <f ca="1">AL30*2</f>
        <v>2</v>
      </c>
      <c r="AO30" s="19">
        <f ca="1">สตม.!$B$32</f>
        <v>23</v>
      </c>
      <c r="AP30" s="20">
        <f ca="1">สตม.!$C$32</f>
        <v>23</v>
      </c>
      <c r="AQ30" s="56">
        <f ca="1">AO30*2</f>
        <v>46</v>
      </c>
      <c r="AR30" s="17">
        <f ca="1">บช.ทท.!$B$32</f>
        <v>4</v>
      </c>
      <c r="AS30" s="18">
        <f ca="1">บช.ทท.!$C$32</f>
        <v>4</v>
      </c>
      <c r="AT30" s="57">
        <f ca="1">AR30*2</f>
        <v>8</v>
      </c>
      <c r="AU30" s="56">
        <f ca="1">บช.ตชด.!$B$32</f>
        <v>5</v>
      </c>
      <c r="AV30" s="20">
        <f ca="1">บช.ตชด.!$C$32</f>
        <v>6</v>
      </c>
      <c r="AW30" s="56">
        <f ca="1">AU30*2</f>
        <v>10</v>
      </c>
      <c r="AX30" s="197">
        <f t="shared" ref="AX30:AX33" ca="1" si="23">SUM(B30,E30,H30,K30,N30,Q30,T30,W30,Z30,AC30,AF30,AI30,AL30,AO30,AR30,AU30)</f>
        <v>834</v>
      </c>
      <c r="AY30" s="227">
        <f t="shared" ref="AY30:AY33" ca="1" si="24">SUM(C30,F30,I30,L30,O30,R30,U30,X30,AA30,AD30,AG30,AJ30,AM30,AP30,AS30,AV30)</f>
        <v>822</v>
      </c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</row>
    <row r="31" spans="1:80" ht="12.75">
      <c r="A31" s="22" t="s">
        <v>48</v>
      </c>
      <c r="B31" s="17">
        <f ca="1">บช.น.!$B$33</f>
        <v>1</v>
      </c>
      <c r="C31" s="18">
        <f ca="1">บช.น.!$C$33</f>
        <v>1</v>
      </c>
      <c r="D31" s="57">
        <f ca="1">B31*1</f>
        <v>1</v>
      </c>
      <c r="E31" s="19">
        <f ca="1">ภ.1!$B$33</f>
        <v>92</v>
      </c>
      <c r="F31" s="20">
        <f ca="1">ภ.1!$C$33</f>
        <v>93</v>
      </c>
      <c r="G31" s="56">
        <f ca="1">E31*1</f>
        <v>92</v>
      </c>
      <c r="H31" s="17">
        <f ca="1">ภ.2!$B$33</f>
        <v>8</v>
      </c>
      <c r="I31" s="18">
        <f ca="1">ภ.2!$C$33</f>
        <v>8</v>
      </c>
      <c r="J31" s="57">
        <f ca="1">H31*1</f>
        <v>8</v>
      </c>
      <c r="K31" s="19">
        <f ca="1">ภ.3!$B$33</f>
        <v>1</v>
      </c>
      <c r="L31" s="20">
        <f ca="1">ภ.3!$C$33</f>
        <v>1</v>
      </c>
      <c r="M31" s="56">
        <f ca="1">K31*1</f>
        <v>1</v>
      </c>
      <c r="N31" s="17">
        <f ca="1">ภ.4!$B$33</f>
        <v>10</v>
      </c>
      <c r="O31" s="18">
        <f ca="1">ภ.4!$C$33</f>
        <v>10</v>
      </c>
      <c r="P31" s="57">
        <f ca="1">N31*1</f>
        <v>10</v>
      </c>
      <c r="Q31" s="19">
        <f ca="1">ภ.5!$B$33</f>
        <v>1</v>
      </c>
      <c r="R31" s="20">
        <f ca="1">ภ.5!$C$33</f>
        <v>1</v>
      </c>
      <c r="S31" s="56">
        <f ca="1">Q31*1</f>
        <v>1</v>
      </c>
      <c r="T31" s="17">
        <f ca="1">ภ.6!$B$33</f>
        <v>10</v>
      </c>
      <c r="U31" s="18">
        <f ca="1">ภ.6!$C$33</f>
        <v>11</v>
      </c>
      <c r="V31" s="57">
        <f ca="1">T31*1</f>
        <v>10</v>
      </c>
      <c r="W31" s="19">
        <f ca="1">ภ.7!$B$33</f>
        <v>33</v>
      </c>
      <c r="X31" s="20">
        <f ca="1">ภ.7!$C$33</f>
        <v>32</v>
      </c>
      <c r="Y31" s="56">
        <f ca="1">W31*1</f>
        <v>33</v>
      </c>
      <c r="Z31" s="17">
        <f ca="1">ภ.8!$B$33</f>
        <v>15</v>
      </c>
      <c r="AA31" s="18">
        <f ca="1">ภ.8!$C$33</f>
        <v>15</v>
      </c>
      <c r="AB31" s="57">
        <f ca="1">Z31*1</f>
        <v>15</v>
      </c>
      <c r="AC31" s="19">
        <f ca="1">ภ.9!$B$33</f>
        <v>9</v>
      </c>
      <c r="AD31" s="20">
        <f ca="1">ภ.9!$C$33</f>
        <v>9</v>
      </c>
      <c r="AE31" s="56">
        <f ca="1">AC31*1</f>
        <v>9</v>
      </c>
      <c r="AF31" s="17">
        <f ca="1">บช.ก.!$C$33</f>
        <v>1</v>
      </c>
      <c r="AG31" s="18">
        <f ca="1">บช.ก.!$D$33</f>
        <v>1</v>
      </c>
      <c r="AH31" s="57">
        <f ca="1">AF31*1</f>
        <v>1</v>
      </c>
      <c r="AI31" s="19">
        <f ca="1">บช.สอท.!$B$33</f>
        <v>0</v>
      </c>
      <c r="AJ31" s="20">
        <f ca="1">บช.สอท.!$C$33</f>
        <v>0</v>
      </c>
      <c r="AK31" s="56">
        <f ca="1">AI31*1</f>
        <v>0</v>
      </c>
      <c r="AL31" s="17">
        <f ca="1">บช.ปส.!$B$33</f>
        <v>0</v>
      </c>
      <c r="AM31" s="18">
        <f ca="1">บช.ปส.!$C$33</f>
        <v>0</v>
      </c>
      <c r="AN31" s="57">
        <f ca="1">AL31*1</f>
        <v>0</v>
      </c>
      <c r="AO31" s="19">
        <f ca="1">สตม.!$B$33</f>
        <v>1</v>
      </c>
      <c r="AP31" s="20">
        <f ca="1">สตม.!$C$33</f>
        <v>1</v>
      </c>
      <c r="AQ31" s="56">
        <f ca="1">AO31*1</f>
        <v>1</v>
      </c>
      <c r="AR31" s="17">
        <f ca="1">บช.ทท.!$B$33</f>
        <v>2</v>
      </c>
      <c r="AS31" s="18">
        <f ca="1">บช.ทท.!$C$33</f>
        <v>2</v>
      </c>
      <c r="AT31" s="57">
        <f ca="1">AR31*1</f>
        <v>2</v>
      </c>
      <c r="AU31" s="56">
        <f ca="1">บช.ตชด.!$B$33</f>
        <v>2</v>
      </c>
      <c r="AV31" s="20">
        <f ca="1">บช.ตชด.!$C$33</f>
        <v>2</v>
      </c>
      <c r="AW31" s="56">
        <f ca="1">AU31*1</f>
        <v>2</v>
      </c>
      <c r="AX31" s="197">
        <f t="shared" ca="1" si="23"/>
        <v>186</v>
      </c>
      <c r="AY31" s="227">
        <f t="shared" ca="1" si="24"/>
        <v>187</v>
      </c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</row>
    <row r="32" spans="1:80" ht="12.75">
      <c r="A32" s="22" t="s">
        <v>49</v>
      </c>
      <c r="B32" s="17">
        <f ca="1">บช.น.!$B$34</f>
        <v>4</v>
      </c>
      <c r="C32" s="18">
        <f ca="1">บช.น.!$C$34</f>
        <v>4</v>
      </c>
      <c r="D32" s="57">
        <f ca="1">B32*5</f>
        <v>20</v>
      </c>
      <c r="E32" s="19">
        <f ca="1">ภ.1!$B$34</f>
        <v>4</v>
      </c>
      <c r="F32" s="20">
        <f ca="1">ภ.1!$C$34</f>
        <v>4</v>
      </c>
      <c r="G32" s="56">
        <f ca="1">E32*5</f>
        <v>20</v>
      </c>
      <c r="H32" s="17">
        <f ca="1">ภ.2!$B$34</f>
        <v>2</v>
      </c>
      <c r="I32" s="18">
        <f ca="1">ภ.2!$C$34</f>
        <v>2</v>
      </c>
      <c r="J32" s="57">
        <f ca="1">H32*5</f>
        <v>10</v>
      </c>
      <c r="K32" s="19">
        <f ca="1">ภ.3!$B$34</f>
        <v>0</v>
      </c>
      <c r="L32" s="20">
        <f ca="1">ภ.3!$C$34</f>
        <v>0</v>
      </c>
      <c r="M32" s="56">
        <f ca="1">K32*5</f>
        <v>0</v>
      </c>
      <c r="N32" s="17">
        <f ca="1">ภ.4!$B$34</f>
        <v>1</v>
      </c>
      <c r="O32" s="18">
        <f ca="1">ภ.4!$C$34</f>
        <v>1</v>
      </c>
      <c r="P32" s="57">
        <f ca="1">N32*5</f>
        <v>5</v>
      </c>
      <c r="Q32" s="19">
        <f ca="1">ภ.5!$B$34</f>
        <v>0</v>
      </c>
      <c r="R32" s="20">
        <f ca="1">ภ.5!$C$34</f>
        <v>0</v>
      </c>
      <c r="S32" s="56">
        <f ca="1">Q32*5</f>
        <v>0</v>
      </c>
      <c r="T32" s="17">
        <f ca="1">ภ.6!$B$34</f>
        <v>0</v>
      </c>
      <c r="U32" s="18">
        <f ca="1">ภ.6!$C$34</f>
        <v>0</v>
      </c>
      <c r="V32" s="57">
        <f ca="1">T32*5</f>
        <v>0</v>
      </c>
      <c r="W32" s="19">
        <f ca="1">ภ.7!$B$34</f>
        <v>0</v>
      </c>
      <c r="X32" s="20">
        <f ca="1">ภ.7!$C$34</f>
        <v>0</v>
      </c>
      <c r="Y32" s="56">
        <f ca="1">W32*5</f>
        <v>0</v>
      </c>
      <c r="Z32" s="17">
        <f ca="1">ภ.8!$B$34</f>
        <v>0</v>
      </c>
      <c r="AA32" s="18">
        <f ca="1">ภ.8!$C$34</f>
        <v>0</v>
      </c>
      <c r="AB32" s="57">
        <f ca="1">Z32*5</f>
        <v>0</v>
      </c>
      <c r="AC32" s="19">
        <f ca="1">ภ.9!$B$34</f>
        <v>3</v>
      </c>
      <c r="AD32" s="20">
        <f ca="1">ภ.9!$C$34</f>
        <v>3</v>
      </c>
      <c r="AE32" s="56">
        <f ca="1">AC32*5</f>
        <v>15</v>
      </c>
      <c r="AF32" s="17">
        <f ca="1">บช.ก.!$C$34</f>
        <v>0</v>
      </c>
      <c r="AG32" s="18">
        <f ca="1">บช.ก.!$D$34</f>
        <v>0</v>
      </c>
      <c r="AH32" s="57">
        <f ca="1">AF32*5</f>
        <v>0</v>
      </c>
      <c r="AI32" s="19">
        <f ca="1">บช.สอท.!$B$34</f>
        <v>0</v>
      </c>
      <c r="AJ32" s="20">
        <f ca="1">บช.สอท.!$C$34</f>
        <v>0</v>
      </c>
      <c r="AK32" s="56">
        <f ca="1">AI32*5</f>
        <v>0</v>
      </c>
      <c r="AL32" s="17">
        <f ca="1">บช.ปส.!$B$34</f>
        <v>0</v>
      </c>
      <c r="AM32" s="18">
        <f ca="1">บช.ปส.!$C$34</f>
        <v>0</v>
      </c>
      <c r="AN32" s="57">
        <f ca="1">AL32*5</f>
        <v>0</v>
      </c>
      <c r="AO32" s="19">
        <f ca="1">สตม.!$B$34</f>
        <v>0</v>
      </c>
      <c r="AP32" s="20">
        <f ca="1">สตม.!$C$34</f>
        <v>0</v>
      </c>
      <c r="AQ32" s="56">
        <f ca="1">AO32*5</f>
        <v>0</v>
      </c>
      <c r="AR32" s="17">
        <f ca="1">บช.ทท.!$B$34</f>
        <v>0</v>
      </c>
      <c r="AS32" s="18">
        <f ca="1">บช.ทท.!$C$34</f>
        <v>0</v>
      </c>
      <c r="AT32" s="57">
        <f ca="1">AR32*5</f>
        <v>0</v>
      </c>
      <c r="AU32" s="56">
        <f ca="1">บช.ตชด.!$B$34</f>
        <v>0</v>
      </c>
      <c r="AV32" s="20">
        <f ca="1">บช.ตชด.!$C$34</f>
        <v>0</v>
      </c>
      <c r="AW32" s="56">
        <f ca="1">AU32*5</f>
        <v>0</v>
      </c>
      <c r="AX32" s="197">
        <f t="shared" ca="1" si="23"/>
        <v>14</v>
      </c>
      <c r="AY32" s="227">
        <f t="shared" ca="1" si="24"/>
        <v>14</v>
      </c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</row>
    <row r="33" spans="1:80" ht="13.5" thickBot="1">
      <c r="A33" s="232" t="s">
        <v>50</v>
      </c>
      <c r="B33" s="233">
        <f ca="1">บช.น.!$B$35</f>
        <v>0</v>
      </c>
      <c r="C33" s="234">
        <f ca="1">บช.น.!$C$35</f>
        <v>0</v>
      </c>
      <c r="D33" s="235">
        <f ca="1">B33*0.5</f>
        <v>0</v>
      </c>
      <c r="E33" s="236">
        <f ca="1">ภ.1!$B$35</f>
        <v>10</v>
      </c>
      <c r="F33" s="237">
        <f ca="1">ภ.1!$C$35</f>
        <v>10</v>
      </c>
      <c r="G33" s="238">
        <f ca="1">E33*0.5</f>
        <v>5</v>
      </c>
      <c r="H33" s="233">
        <f ca="1">ภ.2!$B$35</f>
        <v>31</v>
      </c>
      <c r="I33" s="234">
        <f ca="1">ภ.2!$C$35</f>
        <v>31</v>
      </c>
      <c r="J33" s="235">
        <f ca="1">H33*0.5</f>
        <v>15.5</v>
      </c>
      <c r="K33" s="236">
        <f ca="1">ภ.3!$B$35</f>
        <v>67</v>
      </c>
      <c r="L33" s="237">
        <f ca="1">ภ.3!$C$35</f>
        <v>67</v>
      </c>
      <c r="M33" s="238">
        <f ca="1">K33*0.5</f>
        <v>33.5</v>
      </c>
      <c r="N33" s="233">
        <f ca="1">ภ.4!$B$35</f>
        <v>31</v>
      </c>
      <c r="O33" s="234">
        <f ca="1">ภ.4!$C$35</f>
        <v>31</v>
      </c>
      <c r="P33" s="235">
        <f ca="1">N33*0.5</f>
        <v>15.5</v>
      </c>
      <c r="Q33" s="236">
        <f ca="1">ภ.5!$B$35</f>
        <v>16</v>
      </c>
      <c r="R33" s="237">
        <f ca="1">ภ.5!$C$35</f>
        <v>6</v>
      </c>
      <c r="S33" s="238">
        <f ca="1">Q33*0.5</f>
        <v>8</v>
      </c>
      <c r="T33" s="233">
        <f ca="1">ภ.6!$B$35</f>
        <v>11</v>
      </c>
      <c r="U33" s="234">
        <f ca="1">ภ.6!$C$35</f>
        <v>10</v>
      </c>
      <c r="V33" s="235">
        <f ca="1">T33*0.5</f>
        <v>5.5</v>
      </c>
      <c r="W33" s="236">
        <f ca="1">ภ.7!$B$35</f>
        <v>10</v>
      </c>
      <c r="X33" s="237">
        <f ca="1">ภ.7!$C$35</f>
        <v>9</v>
      </c>
      <c r="Y33" s="238">
        <f ca="1">W33*0.5</f>
        <v>5</v>
      </c>
      <c r="Z33" s="233">
        <f ca="1">ภ.8!$B$35</f>
        <v>54</v>
      </c>
      <c r="AA33" s="234">
        <f ca="1">ภ.8!$C$35</f>
        <v>53</v>
      </c>
      <c r="AB33" s="235">
        <f ca="1">Z33*0.5</f>
        <v>27</v>
      </c>
      <c r="AC33" s="236">
        <f ca="1">ภ.9!$B$35</f>
        <v>87</v>
      </c>
      <c r="AD33" s="237">
        <f ca="1">ภ.9!$C$35</f>
        <v>87</v>
      </c>
      <c r="AE33" s="238">
        <f ca="1">AC33*0.5</f>
        <v>43.5</v>
      </c>
      <c r="AF33" s="233">
        <f ca="1">บช.ก.!$C$35</f>
        <v>2</v>
      </c>
      <c r="AG33" s="234">
        <f ca="1">บช.ก.!$D$35</f>
        <v>2</v>
      </c>
      <c r="AH33" s="235">
        <f ca="1">AF33*0.5</f>
        <v>1</v>
      </c>
      <c r="AI33" s="236">
        <f ca="1">บช.สอท.!$B$35</f>
        <v>0</v>
      </c>
      <c r="AJ33" s="237">
        <f ca="1">บช.สอท.!$C$35</f>
        <v>0</v>
      </c>
      <c r="AK33" s="238">
        <f ca="1">AI33*0.5</f>
        <v>0</v>
      </c>
      <c r="AL33" s="233">
        <f ca="1">บช.ปส.!$B$35</f>
        <v>0</v>
      </c>
      <c r="AM33" s="234">
        <f ca="1">บช.ปส.!$C$35</f>
        <v>0</v>
      </c>
      <c r="AN33" s="235">
        <f ca="1">AL33*0.5</f>
        <v>0</v>
      </c>
      <c r="AO33" s="236">
        <f ca="1">สตม.!$B$35</f>
        <v>2</v>
      </c>
      <c r="AP33" s="237">
        <f ca="1">สตม.!$C$35</f>
        <v>2</v>
      </c>
      <c r="AQ33" s="238">
        <f ca="1">AO33*0.5</f>
        <v>1</v>
      </c>
      <c r="AR33" s="233">
        <f ca="1">บช.ทท.!$B$35</f>
        <v>5</v>
      </c>
      <c r="AS33" s="234">
        <f ca="1">บช.ทท.!$C$35</f>
        <v>5</v>
      </c>
      <c r="AT33" s="235">
        <f ca="1">AR33*0.5</f>
        <v>2.5</v>
      </c>
      <c r="AU33" s="238">
        <f ca="1">บช.ตชด.!$B$35</f>
        <v>0</v>
      </c>
      <c r="AV33" s="237">
        <f ca="1">บช.ตชด.!$C$35</f>
        <v>0</v>
      </c>
      <c r="AW33" s="238">
        <f ca="1">AU33*0.5</f>
        <v>0</v>
      </c>
      <c r="AX33" s="255">
        <f t="shared" ca="1" si="23"/>
        <v>326</v>
      </c>
      <c r="AY33" s="256">
        <f t="shared" ca="1" si="24"/>
        <v>313</v>
      </c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</row>
    <row r="34" spans="1:80" s="266" customFormat="1" ht="13.5" thickBot="1">
      <c r="A34" s="269" t="s">
        <v>32</v>
      </c>
      <c r="B34" s="270">
        <f ca="1">บช.น.!$B$36</f>
        <v>24</v>
      </c>
      <c r="C34" s="271">
        <f ca="1">บช.น.!$C$36</f>
        <v>27</v>
      </c>
      <c r="D34" s="270">
        <f ca="1">SUM(D29:D33)</f>
        <v>62</v>
      </c>
      <c r="E34" s="270">
        <f ca="1">ภ.1!$B$36</f>
        <v>179</v>
      </c>
      <c r="F34" s="271">
        <f ca="1">ภ.1!$C$36</f>
        <v>180</v>
      </c>
      <c r="G34" s="270">
        <f ca="1">SUM(G29:G33)</f>
        <v>263</v>
      </c>
      <c r="H34" s="270">
        <f ca="1">ภ.2!$B$36</f>
        <v>125</v>
      </c>
      <c r="I34" s="271">
        <f ca="1">ภ.2!$C$36</f>
        <v>125</v>
      </c>
      <c r="J34" s="270">
        <f ca="1">SUM(J29:J33)</f>
        <v>202.5</v>
      </c>
      <c r="K34" s="270">
        <f ca="1">ภ.3!$B$36</f>
        <v>132</v>
      </c>
      <c r="L34" s="271">
        <f ca="1">ภ.3!$C$36</f>
        <v>133</v>
      </c>
      <c r="M34" s="270">
        <f ca="1">SUM(M29:M33)</f>
        <v>162.5</v>
      </c>
      <c r="N34" s="270">
        <f ca="1">ภ.4!$B$36</f>
        <v>282</v>
      </c>
      <c r="O34" s="271">
        <f ca="1">ภ.4!$C$36</f>
        <v>277</v>
      </c>
      <c r="P34" s="270">
        <f ca="1">SUM(P29:P33)</f>
        <v>511.5</v>
      </c>
      <c r="Q34" s="270">
        <f ca="1">ภ.5!$B$36</f>
        <v>46</v>
      </c>
      <c r="R34" s="271">
        <f ca="1">ภ.5!$C$36</f>
        <v>30</v>
      </c>
      <c r="S34" s="270">
        <f ca="1">SUM(S29:S33)</f>
        <v>67</v>
      </c>
      <c r="T34" s="270">
        <f ca="1">ภ.6!$B$36</f>
        <v>79</v>
      </c>
      <c r="U34" s="271">
        <f ca="1">ภ.6!$C$36</f>
        <v>78</v>
      </c>
      <c r="V34" s="270">
        <f ca="1">SUM(V29:V33)</f>
        <v>131.5</v>
      </c>
      <c r="W34" s="270">
        <f ca="1">ภ.7!$B$36</f>
        <v>170</v>
      </c>
      <c r="X34" s="271">
        <f ca="1">ภ.7!$C$36</f>
        <v>168</v>
      </c>
      <c r="Y34" s="270">
        <f ca="1">SUM(Y29:Y33)</f>
        <v>292</v>
      </c>
      <c r="Z34" s="270">
        <f ca="1">ภ.8!$B$36</f>
        <v>116</v>
      </c>
      <c r="AA34" s="271">
        <f ca="1">ภ.8!$C$36</f>
        <v>112</v>
      </c>
      <c r="AB34" s="270">
        <f ca="1">SUM(AB29:AB33)</f>
        <v>136</v>
      </c>
      <c r="AC34" s="270">
        <f ca="1">ภ.9!$B$36</f>
        <v>123</v>
      </c>
      <c r="AD34" s="271">
        <f ca="1">ภ.9!$C$36</f>
        <v>124</v>
      </c>
      <c r="AE34" s="270">
        <f ca="1">SUM(AE29:AE33)</f>
        <v>115.5</v>
      </c>
      <c r="AF34" s="270">
        <f ca="1">บช.ก.!$C$36</f>
        <v>28</v>
      </c>
      <c r="AG34" s="271">
        <f ca="1">บช.ก.!$D$36</f>
        <v>27</v>
      </c>
      <c r="AH34" s="270">
        <f ca="1">SUM(AH29:AH33)</f>
        <v>52</v>
      </c>
      <c r="AI34" s="270">
        <f ca="1">บช.สอท.!$B$36</f>
        <v>17</v>
      </c>
      <c r="AJ34" s="271">
        <f ca="1">บช.สอท.!$C$36</f>
        <v>17</v>
      </c>
      <c r="AK34" s="270">
        <f ca="1">SUM(AK29:AK33)</f>
        <v>35</v>
      </c>
      <c r="AL34" s="270">
        <f ca="1">บช.ปส.!$B$36</f>
        <v>1</v>
      </c>
      <c r="AM34" s="271">
        <f ca="1">บช.ปส.!$C$36</f>
        <v>1</v>
      </c>
      <c r="AN34" s="270">
        <f ca="1">SUM(AN29:AN33)</f>
        <v>2</v>
      </c>
      <c r="AO34" s="270">
        <f ca="1">สตม.!$B$36</f>
        <v>26</v>
      </c>
      <c r="AP34" s="271">
        <f ca="1">สตม.!$C$36</f>
        <v>26</v>
      </c>
      <c r="AQ34" s="270">
        <f ca="1">SUM(AQ29:AQ33)</f>
        <v>48</v>
      </c>
      <c r="AR34" s="270">
        <f ca="1">บช.ทท.!$B$36</f>
        <v>11</v>
      </c>
      <c r="AS34" s="271">
        <f ca="1">บช.ทท.!$C$36</f>
        <v>11</v>
      </c>
      <c r="AT34" s="270">
        <f ca="1">SUM(AT29:AT33)</f>
        <v>12.5</v>
      </c>
      <c r="AU34" s="272">
        <f ca="1">บช.ตชด.!$B$36</f>
        <v>7</v>
      </c>
      <c r="AV34" s="271">
        <f ca="1">บช.ตชด.!$C$36</f>
        <v>8</v>
      </c>
      <c r="AW34" s="272">
        <f ca="1">SUM(AW29:AW33)</f>
        <v>12</v>
      </c>
      <c r="AX34" s="579">
        <f ca="1">SUM(AX29:AX33)</f>
        <v>1366</v>
      </c>
      <c r="AY34" s="580">
        <f ca="1">SUM(AY29:AY33)</f>
        <v>1344</v>
      </c>
      <c r="AZ34" s="273"/>
      <c r="BA34" s="273"/>
      <c r="BB34" s="273"/>
      <c r="BC34" s="273"/>
      <c r="BD34" s="273"/>
      <c r="BE34" s="273"/>
      <c r="BF34" s="273"/>
      <c r="BG34" s="273"/>
      <c r="BH34" s="273"/>
      <c r="BI34" s="273"/>
      <c r="BJ34" s="273"/>
      <c r="BK34" s="273"/>
      <c r="BL34" s="273"/>
      <c r="BM34" s="273"/>
      <c r="BN34" s="273"/>
      <c r="BO34" s="273"/>
      <c r="BP34" s="273"/>
      <c r="BQ34" s="273"/>
      <c r="BR34" s="273"/>
      <c r="BS34" s="273"/>
      <c r="BT34" s="273"/>
      <c r="BU34" s="273"/>
      <c r="BV34" s="273"/>
      <c r="BW34" s="273"/>
      <c r="BX34" s="273"/>
      <c r="BY34" s="273"/>
      <c r="BZ34" s="273"/>
      <c r="CA34" s="273"/>
      <c r="CB34" s="273"/>
    </row>
    <row r="35" spans="1:80" ht="13.5" thickBot="1">
      <c r="A35" s="214" t="s">
        <v>51</v>
      </c>
      <c r="B35" s="267">
        <f ca="1">บช.น.!$B$37</f>
        <v>1</v>
      </c>
      <c r="C35" s="268">
        <f ca="1">บช.น.!$C$37</f>
        <v>4</v>
      </c>
      <c r="D35" s="274">
        <f ca="1">B35*1</f>
        <v>1</v>
      </c>
      <c r="E35" s="275">
        <f ca="1">ภ.1!$B$37</f>
        <v>2</v>
      </c>
      <c r="F35" s="276">
        <f ca="1">ภ.1!$C$37</f>
        <v>2</v>
      </c>
      <c r="G35" s="277">
        <f ca="1">E35*1</f>
        <v>2</v>
      </c>
      <c r="H35" s="267">
        <f ca="1">ภ.2!$B$37</f>
        <v>13</v>
      </c>
      <c r="I35" s="268">
        <f ca="1">ภ.2!$C$37</f>
        <v>45</v>
      </c>
      <c r="J35" s="274">
        <f ca="1">H35*1</f>
        <v>13</v>
      </c>
      <c r="K35" s="275">
        <f ca="1">ภ.3!$B$37</f>
        <v>0</v>
      </c>
      <c r="L35" s="276">
        <f ca="1">ภ.3!$C$37</f>
        <v>0</v>
      </c>
      <c r="M35" s="277">
        <f ca="1">K35*1</f>
        <v>0</v>
      </c>
      <c r="N35" s="267">
        <f ca="1">ภ.4!$B$37</f>
        <v>8</v>
      </c>
      <c r="O35" s="268">
        <f ca="1">ภ.4!$C$37</f>
        <v>4</v>
      </c>
      <c r="P35" s="274">
        <f ca="1">N35*1</f>
        <v>8</v>
      </c>
      <c r="Q35" s="275">
        <f ca="1">ภ.5!$B$37</f>
        <v>0</v>
      </c>
      <c r="R35" s="276">
        <f ca="1">ภ.5!$C$37</f>
        <v>0</v>
      </c>
      <c r="S35" s="277">
        <f ca="1">Q35*1</f>
        <v>0</v>
      </c>
      <c r="T35" s="267">
        <f ca="1">ภ.6!$B$37</f>
        <v>0</v>
      </c>
      <c r="U35" s="268">
        <f ca="1">ภ.6!$C$37</f>
        <v>0</v>
      </c>
      <c r="V35" s="274">
        <f ca="1">T35*1</f>
        <v>0</v>
      </c>
      <c r="W35" s="275">
        <f ca="1">ภ.7!$B$37</f>
        <v>0</v>
      </c>
      <c r="X35" s="276">
        <f ca="1">ภ.7!$C$37</f>
        <v>0</v>
      </c>
      <c r="Y35" s="277">
        <f ca="1">W35*1</f>
        <v>0</v>
      </c>
      <c r="Z35" s="267">
        <f ca="1">ภ.8!$B$37</f>
        <v>3</v>
      </c>
      <c r="AA35" s="268">
        <f ca="1">ภ.8!$C$37</f>
        <v>3</v>
      </c>
      <c r="AB35" s="274">
        <f ca="1">Z35*1</f>
        <v>3</v>
      </c>
      <c r="AC35" s="275">
        <f ca="1">ภ.9!$B$37</f>
        <v>0</v>
      </c>
      <c r="AD35" s="276">
        <f ca="1">ภ.9!$C$37</f>
        <v>0</v>
      </c>
      <c r="AE35" s="277">
        <f ca="1">AC35*1</f>
        <v>0</v>
      </c>
      <c r="AF35" s="267">
        <f ca="1">บช.ก.!$C$37</f>
        <v>1</v>
      </c>
      <c r="AG35" s="268">
        <f ca="1">บช.ก.!$D$37</f>
        <v>4</v>
      </c>
      <c r="AH35" s="274">
        <f ca="1">AF35*1</f>
        <v>1</v>
      </c>
      <c r="AI35" s="275">
        <f ca="1">บช.สอท.!$B$37</f>
        <v>0</v>
      </c>
      <c r="AJ35" s="276">
        <f ca="1">บช.สอท.!$C$37</f>
        <v>0</v>
      </c>
      <c r="AK35" s="277">
        <f ca="1">AI35*1</f>
        <v>0</v>
      </c>
      <c r="AL35" s="267">
        <f ca="1">บช.ปส.!$B$37</f>
        <v>0</v>
      </c>
      <c r="AM35" s="268">
        <f ca="1">บช.ปส.!$C$37</f>
        <v>0</v>
      </c>
      <c r="AN35" s="274">
        <f ca="1">AL35*1</f>
        <v>0</v>
      </c>
      <c r="AO35" s="275">
        <f ca="1">สตม.!$B$37</f>
        <v>0</v>
      </c>
      <c r="AP35" s="276">
        <f ca="1">สตม.!$C$37</f>
        <v>0</v>
      </c>
      <c r="AQ35" s="277">
        <f ca="1">AO35*1</f>
        <v>0</v>
      </c>
      <c r="AR35" s="267">
        <f ca="1">บช.ทท.!$B$37</f>
        <v>0</v>
      </c>
      <c r="AS35" s="268">
        <f ca="1">บช.ทท.!$C$37</f>
        <v>0</v>
      </c>
      <c r="AT35" s="274">
        <f ca="1">AR35*1</f>
        <v>0</v>
      </c>
      <c r="AU35" s="278">
        <f ca="1">บช.ตชด.!$B$37</f>
        <v>0</v>
      </c>
      <c r="AV35" s="276">
        <f ca="1">บช.ตชด.!$C$37</f>
        <v>0</v>
      </c>
      <c r="AW35" s="277">
        <f ca="1">AU35*1</f>
        <v>0</v>
      </c>
      <c r="AX35" s="583">
        <f ca="1">SUM(B35,E35,H35,K35,N35,Q35,T35,W35,Z35,AC35,AF35,AI35,AL35,AO35,AR35,AU35)</f>
        <v>28</v>
      </c>
      <c r="AY35" s="584">
        <f ca="1">SUM(C35,F35,I35,L35,O35,R35,U35,X35,AA35,AD35,AG35,AJ35,AM35,AP35,AS35,AV35)</f>
        <v>62</v>
      </c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</row>
    <row r="36" spans="1:80" s="216" customFormat="1" ht="21.75" thickBot="1">
      <c r="A36" s="338" t="s">
        <v>109</v>
      </c>
      <c r="B36" s="247">
        <f ca="1">SUM(B13,B22,B27,B34,B35)</f>
        <v>530</v>
      </c>
      <c r="C36" s="248">
        <f ca="1">SUM(C13,C22,C27,C34,C35,C37)</f>
        <v>639</v>
      </c>
      <c r="D36" s="249">
        <f ca="1">SUM(D13,D22,D27,D34,D35,D37)</f>
        <v>2802.18</v>
      </c>
      <c r="E36" s="250">
        <f ca="1">SUM(E13,E22,E27,E34,E35)</f>
        <v>1127</v>
      </c>
      <c r="F36" s="251">
        <f ca="1">SUM(F13,F22,F27,F34,F35)</f>
        <v>1263</v>
      </c>
      <c r="G36" s="252">
        <f ca="1">SUM(G13,G22,G27,G34,G35,G37)</f>
        <v>5015.1499999999996</v>
      </c>
      <c r="H36" s="247">
        <f ca="1">SUM(H13,H22,H27,H34,H35)</f>
        <v>1358</v>
      </c>
      <c r="I36" s="248">
        <f ca="1">SUM(I13,I22,I27,I34,I35,I37)</f>
        <v>1525</v>
      </c>
      <c r="J36" s="253">
        <f ca="1">SUM(J13,J22,J27,J34,J35,J37)</f>
        <v>3666.98</v>
      </c>
      <c r="K36" s="247">
        <f ca="1">SUM(K13,K22,K27,K34,K35)</f>
        <v>1558</v>
      </c>
      <c r="L36" s="248">
        <f ca="1">SUM(L13,L22,L27,L34,L35,L37)</f>
        <v>1680</v>
      </c>
      <c r="M36" s="253">
        <f ca="1">SUM(M13,M22,M27,M34,M35,M37)</f>
        <v>4169.47</v>
      </c>
      <c r="N36" s="247">
        <f ca="1">SUM(N13,N22,N27,N34,N35)</f>
        <v>4892</v>
      </c>
      <c r="O36" s="248">
        <f ca="1">SUM(O13,O22,O27,O34,O35,O37)</f>
        <v>5196</v>
      </c>
      <c r="P36" s="253">
        <f ca="1">SUM(P13,P22,P27,P34,P35,P37)</f>
        <v>8579.9699999999993</v>
      </c>
      <c r="Q36" s="247">
        <f ca="1">SUM(Q13,Q22,Q27,Q34,Q35)</f>
        <v>572</v>
      </c>
      <c r="R36" s="248">
        <f ca="1">SUM(R13,R22,R27,R34,R35,R37)</f>
        <v>474</v>
      </c>
      <c r="S36" s="253">
        <f ca="1">SUM(S13,S22,S27,S34,S35,S37)</f>
        <v>2775.1</v>
      </c>
      <c r="T36" s="247">
        <f ca="1">SUM(T13,T22,T27,T34,T35)</f>
        <v>787</v>
      </c>
      <c r="U36" s="248">
        <f ca="1">SUM(U13,U22,U27,U34,U35,U37)</f>
        <v>855</v>
      </c>
      <c r="V36" s="253">
        <f ca="1">SUM(V13,V22,V27,V34,V35,V37)</f>
        <v>1758.0900000000001</v>
      </c>
      <c r="W36" s="247">
        <f ca="1">SUM(W13,W22,W27,W34,W35)</f>
        <v>1018</v>
      </c>
      <c r="X36" s="248">
        <f ca="1">SUM(X13,X22,X27,X34,X35,X37)</f>
        <v>1185</v>
      </c>
      <c r="Y36" s="253">
        <f ca="1">SUM(Y13,Y22,Y27,Y34,Y35,Y37)</f>
        <v>2800.9300000000003</v>
      </c>
      <c r="Z36" s="247">
        <f ca="1">SUM(Z13,Z22,Z27,Z34,Z35)</f>
        <v>800</v>
      </c>
      <c r="AA36" s="248">
        <f ca="1">SUM(AA13,AA22,AA27,AA34,AA35,AA37)</f>
        <v>917</v>
      </c>
      <c r="AB36" s="253">
        <f ca="1">SUM(AB13,AB22,AB27,AB34,AB35,AB37)</f>
        <v>3064.79</v>
      </c>
      <c r="AC36" s="247">
        <f ca="1">SUM(AC13,AC22,AC27,AC34,AC35)</f>
        <v>655</v>
      </c>
      <c r="AD36" s="248">
        <f ca="1">SUM(AD13,AD22,AD27,AD34,AD35,AD37)</f>
        <v>757</v>
      </c>
      <c r="AE36" s="253">
        <f ca="1">SUM(AE13,AE22,AE27,AE34,AE35,AE37)</f>
        <v>1428.3400000000001</v>
      </c>
      <c r="AF36" s="247">
        <f ca="1">SUM(AF13,AF22,AF27,AF34,AF35)</f>
        <v>281</v>
      </c>
      <c r="AG36" s="248">
        <f ca="1">SUM(AG13,AG22,AG27,AG34,AG35,AG37)</f>
        <v>464</v>
      </c>
      <c r="AH36" s="253">
        <f ca="1">SUM(AH13,AH22,AH27,AH34,AH35,AH37)</f>
        <v>3617.41</v>
      </c>
      <c r="AI36" s="247">
        <f ca="1">SUM(AI13,AI22,AI27,AI34,AI35)</f>
        <v>100</v>
      </c>
      <c r="AJ36" s="248">
        <f ca="1">SUM(AJ13,AJ22,AJ27,AJ34,AJ35,AJ37)</f>
        <v>126</v>
      </c>
      <c r="AK36" s="253">
        <f ca="1">SUM(AK13,AK22,AK27,AK34,AK35,AK37)</f>
        <v>978.14</v>
      </c>
      <c r="AL36" s="247">
        <f ca="1">SUM(AL13,AL22,AL27,AL34,AL35)</f>
        <v>29</v>
      </c>
      <c r="AM36" s="248">
        <f ca="1">SUM(AM13,AM22,AM27,AM34,AM35,AM37)</f>
        <v>37</v>
      </c>
      <c r="AN36" s="253">
        <f ca="1">SUM(AN13,AN22,AN27,AN34,AN35,AN37)</f>
        <v>527.61</v>
      </c>
      <c r="AO36" s="247">
        <f ca="1">SUM(AO13,AO22,AO27,AO34,AO35)</f>
        <v>900</v>
      </c>
      <c r="AP36" s="248">
        <f ca="1">SUM(AP13,AP22,AP27,AP34,AP35,AP37)</f>
        <v>1215</v>
      </c>
      <c r="AQ36" s="253">
        <f ca="1">SUM(AQ13,AQ22,AQ27,AQ34,AQ35,AQ37)</f>
        <v>1179.3499999999999</v>
      </c>
      <c r="AR36" s="247">
        <f ca="1">SUM(AR13,AR22,AR27,AR34,AR35)</f>
        <v>129</v>
      </c>
      <c r="AS36" s="248">
        <f ca="1">SUM(AS13,AS22,AS27,AS34,AS35,AS37)</f>
        <v>153</v>
      </c>
      <c r="AT36" s="253">
        <f ca="1">SUM(AT13,AT22,AT27,AT34,AT35,AT37)</f>
        <v>497.54</v>
      </c>
      <c r="AU36" s="254">
        <f ca="1">SUM(AU13,AU22,AU27,AU34,AU35)</f>
        <v>42</v>
      </c>
      <c r="AV36" s="248">
        <f ca="1">SUM(AV13,AV22,AV27,AV34,AV35,AV37)</f>
        <v>114</v>
      </c>
      <c r="AW36" s="249">
        <f ca="1">SUM(AW13,AW22,AW27,AW34,AW35,AW37)</f>
        <v>69</v>
      </c>
      <c r="AX36" s="585">
        <f t="shared" ref="AX36:AX37" ca="1" si="25">SUM(B36,E36,H36,K36,N36,Q36,T36,W36,Z36,AC36,AF36,AI36,AL36,AO36,AR36,AU36)</f>
        <v>14778</v>
      </c>
      <c r="AY36" s="586">
        <f t="shared" ref="AY36" ca="1" si="26">SUM(C36,F36,I36,L36,O36,R36,U36,X36,AA36,AD36,AG36,AJ36,AM36,AP36,AS36,AV36)</f>
        <v>16600</v>
      </c>
      <c r="AZ36" s="215"/>
      <c r="BA36" s="215"/>
      <c r="BB36" s="215"/>
      <c r="BC36" s="215"/>
      <c r="BD36" s="215"/>
      <c r="BE36" s="215"/>
      <c r="BF36" s="215"/>
      <c r="BG36" s="215"/>
      <c r="BH36" s="215"/>
      <c r="BI36" s="215"/>
      <c r="BJ36" s="215"/>
      <c r="BK36" s="215"/>
      <c r="BL36" s="215"/>
      <c r="BM36" s="215"/>
      <c r="BN36" s="215"/>
      <c r="BO36" s="215"/>
      <c r="BP36" s="215"/>
      <c r="BQ36" s="215"/>
      <c r="BR36" s="215"/>
      <c r="BS36" s="215"/>
      <c r="BT36" s="215"/>
      <c r="BU36" s="215"/>
      <c r="BV36" s="215"/>
      <c r="BW36" s="215"/>
      <c r="BX36" s="215"/>
      <c r="BY36" s="215"/>
      <c r="BZ36" s="215"/>
      <c r="CA36" s="215"/>
      <c r="CB36" s="215"/>
    </row>
    <row r="37" spans="1:80" s="258" customFormat="1" ht="16.149999999999999" customHeight="1" thickBot="1">
      <c r="A37" s="217" t="s">
        <v>52</v>
      </c>
      <c r="B37" s="218">
        <v>587</v>
      </c>
      <c r="C37" s="223"/>
      <c r="D37" s="219">
        <v>2312.6799999999998</v>
      </c>
      <c r="E37" s="220">
        <v>640</v>
      </c>
      <c r="F37" s="224"/>
      <c r="G37" s="221">
        <v>3600.15</v>
      </c>
      <c r="H37" s="218">
        <v>576</v>
      </c>
      <c r="I37" s="223"/>
      <c r="J37" s="219">
        <v>2110.98</v>
      </c>
      <c r="K37" s="220">
        <v>331</v>
      </c>
      <c r="L37" s="224"/>
      <c r="M37" s="221">
        <v>1795.47</v>
      </c>
      <c r="N37" s="218">
        <v>656</v>
      </c>
      <c r="O37" s="223"/>
      <c r="P37" s="219">
        <v>2855.47</v>
      </c>
      <c r="Q37" s="220">
        <v>563</v>
      </c>
      <c r="R37" s="224"/>
      <c r="S37" s="221">
        <v>1877.6</v>
      </c>
      <c r="T37" s="218">
        <v>348</v>
      </c>
      <c r="U37" s="223"/>
      <c r="V37" s="219">
        <v>980.09</v>
      </c>
      <c r="W37" s="220">
        <v>402</v>
      </c>
      <c r="X37" s="224"/>
      <c r="Y37" s="221">
        <v>1579.43</v>
      </c>
      <c r="Z37" s="218">
        <v>301</v>
      </c>
      <c r="AA37" s="223"/>
      <c r="AB37" s="219">
        <v>1934.79</v>
      </c>
      <c r="AC37" s="220">
        <v>305</v>
      </c>
      <c r="AD37" s="224"/>
      <c r="AE37" s="221">
        <v>684.84</v>
      </c>
      <c r="AF37" s="218">
        <v>864</v>
      </c>
      <c r="AG37" s="223"/>
      <c r="AH37" s="219">
        <v>3192.91</v>
      </c>
      <c r="AI37" s="220">
        <v>315</v>
      </c>
      <c r="AJ37" s="224"/>
      <c r="AK37" s="221">
        <v>833.64</v>
      </c>
      <c r="AL37" s="218">
        <v>195</v>
      </c>
      <c r="AM37" s="223"/>
      <c r="AN37" s="219">
        <v>473.11</v>
      </c>
      <c r="AO37" s="220">
        <v>373</v>
      </c>
      <c r="AP37" s="224"/>
      <c r="AQ37" s="221">
        <v>469.85</v>
      </c>
      <c r="AR37" s="218">
        <v>209</v>
      </c>
      <c r="AS37" s="223"/>
      <c r="AT37" s="219">
        <v>321.54000000000002</v>
      </c>
      <c r="AU37" s="222">
        <v>9</v>
      </c>
      <c r="AV37" s="224"/>
      <c r="AW37" s="221">
        <v>22</v>
      </c>
      <c r="AX37" s="587">
        <f t="shared" si="25"/>
        <v>6674</v>
      </c>
      <c r="AY37" s="588"/>
      <c r="AZ37" s="257"/>
      <c r="BA37" s="257"/>
      <c r="BB37" s="257"/>
      <c r="BC37" s="257"/>
      <c r="BD37" s="257"/>
      <c r="BE37" s="257"/>
      <c r="BF37" s="257"/>
      <c r="BG37" s="257"/>
      <c r="BH37" s="257"/>
      <c r="BI37" s="257"/>
      <c r="BJ37" s="257"/>
      <c r="BK37" s="257"/>
      <c r="BL37" s="257"/>
      <c r="BM37" s="257"/>
      <c r="BN37" s="257"/>
      <c r="BO37" s="257"/>
      <c r="BP37" s="257"/>
      <c r="BQ37" s="257"/>
      <c r="BR37" s="257"/>
      <c r="BS37" s="257"/>
      <c r="BT37" s="257"/>
      <c r="BU37" s="257"/>
      <c r="BV37" s="257"/>
      <c r="BW37" s="257"/>
      <c r="BX37" s="257"/>
      <c r="BY37" s="257"/>
      <c r="BZ37" s="257"/>
      <c r="CA37" s="257"/>
      <c r="CB37" s="257"/>
    </row>
    <row r="38" spans="1:80" ht="12.75">
      <c r="A38" s="47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6"/>
      <c r="AP38" s="6"/>
      <c r="AQ38" s="6"/>
      <c r="AR38" s="6"/>
      <c r="AS38" s="6"/>
      <c r="AT38" s="6"/>
      <c r="AU38" s="6"/>
      <c r="AV38" s="6"/>
      <c r="AW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</row>
  </sheetData>
  <mergeCells count="20">
    <mergeCell ref="A2:A3"/>
    <mergeCell ref="B2:D2"/>
    <mergeCell ref="B1:D1"/>
    <mergeCell ref="E2:G2"/>
    <mergeCell ref="H2:J2"/>
    <mergeCell ref="E1:J1"/>
    <mergeCell ref="K2:M2"/>
    <mergeCell ref="AI2:AK2"/>
    <mergeCell ref="AL2:AN2"/>
    <mergeCell ref="AO2:AQ2"/>
    <mergeCell ref="AR2:AT2"/>
    <mergeCell ref="AX2:AY2"/>
    <mergeCell ref="AU2:AW2"/>
    <mergeCell ref="N2:P2"/>
    <mergeCell ref="Q2:S2"/>
    <mergeCell ref="T2:V2"/>
    <mergeCell ref="W2:Y2"/>
    <mergeCell ref="Z2:AB2"/>
    <mergeCell ref="AC2:AE2"/>
    <mergeCell ref="AF2:AH2"/>
  </mergeCells>
  <pageMargins left="0.7" right="0.7" top="0.75" bottom="0.75" header="0.3" footer="0.3"/>
  <pageSetup paperSize="9" orientation="portrait" verticalDpi="0" r:id="rId1"/>
  <ignoredErrors>
    <ignoredError sqref="E36 G36:H36 K36 N36 Q36 T36 W36 Z36 AC36 AF36 AI36 AL36 AO36 AR36 AU36 AX34:AY34" formula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 t="s">
        <v>77</v>
      </c>
      <c r="C2" s="102" t="s">
        <v>72</v>
      </c>
      <c r="D2" s="103" t="str">
        <f ca="1">IFERROR(__xludf.DUMMYFUNCTION("QUERY('Form Responses 1'!A:BE,""select * where A&gt;= datetime '""&amp;TEXT(B3,""yyyy-mm-dd HH:mm:ss"")&amp;""' and A&lt;= datetime '""&amp;TEXT(B3+1,""yyyy-mm-dd HH:mm:ss"")&amp;""' and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3</v>
      </c>
      <c r="B3" s="141" t="e">
        <f>#REF!</f>
        <v>#REF!</v>
      </c>
      <c r="C3" s="131" t="e">
        <f>B3-1</f>
        <v>#REF!</v>
      </c>
      <c r="D3" s="130">
        <f ca="1">IFERROR(__xludf.DUMMYFUNCTION("""COMPUTED_VALUE"""),44470.3186583449)</f>
        <v>44470.318658344899</v>
      </c>
      <c r="E3" s="108" t="str">
        <f ca="1">IFERROR(__xludf.DUMMYFUNCTION("""COMPUTED_VALUE"""),"p8@rtp.com")</f>
        <v>p8@rtp.com</v>
      </c>
      <c r="F3" s="108" t="str">
        <f ca="1">IFERROR(__xludf.DUMMYFUNCTION("""COMPUTED_VALUE"""),"rtp2021")</f>
        <v>rtp2021</v>
      </c>
      <c r="G3" s="108"/>
      <c r="H3" s="108" t="str">
        <f ca="1">IFERROR(__xludf.DUMMYFUNCTION("""COMPUTED_VALUE"""),"ภ.8")</f>
        <v>ภ.8</v>
      </c>
      <c r="I3" s="108">
        <f ca="1">IFERROR(__xludf.DUMMYFUNCTION("""COMPUTED_VALUE"""),0)</f>
        <v>0</v>
      </c>
      <c r="J3" s="108">
        <f ca="1">IFERROR(__xludf.DUMMYFUNCTION("""COMPUTED_VALUE"""),0)</f>
        <v>0</v>
      </c>
      <c r="K3" s="108">
        <f ca="1">IFERROR(__xludf.DUMMYFUNCTION("""COMPUTED_VALUE"""),0)</f>
        <v>0</v>
      </c>
      <c r="L3" s="108">
        <f ca="1">IFERROR(__xludf.DUMMYFUNCTION("""COMPUTED_VALUE"""),0)</f>
        <v>0</v>
      </c>
      <c r="M3" s="108">
        <f ca="1">IFERROR(__xludf.DUMMYFUNCTION("""COMPUTED_VALUE"""),2)</f>
        <v>2</v>
      </c>
      <c r="N3" s="108">
        <f ca="1">IFERROR(__xludf.DUMMYFUNCTION("""COMPUTED_VALUE"""),2)</f>
        <v>2</v>
      </c>
      <c r="O3" s="108">
        <f ca="1">IFERROR(__xludf.DUMMYFUNCTION("""COMPUTED_VALUE"""),0)</f>
        <v>0</v>
      </c>
      <c r="P3" s="108">
        <f ca="1">IFERROR(__xludf.DUMMYFUNCTION("""COMPUTED_VALUE"""),0)</f>
        <v>0</v>
      </c>
      <c r="Q3" s="108">
        <f ca="1">IFERROR(__xludf.DUMMYFUNCTION("""COMPUTED_VALUE"""),3)</f>
        <v>3</v>
      </c>
      <c r="R3" s="108">
        <f ca="1">IFERROR(__xludf.DUMMYFUNCTION("""COMPUTED_VALUE"""),3)</f>
        <v>3</v>
      </c>
      <c r="S3" s="108">
        <f ca="1">IFERROR(__xludf.DUMMYFUNCTION("""COMPUTED_VALUE"""),13)</f>
        <v>13</v>
      </c>
      <c r="T3" s="108">
        <f ca="1">IFERROR(__xludf.DUMMYFUNCTION("""COMPUTED_VALUE"""),21)</f>
        <v>21</v>
      </c>
      <c r="U3" s="108">
        <f ca="1">IFERROR(__xludf.DUMMYFUNCTION("""COMPUTED_VALUE"""),3)</f>
        <v>3</v>
      </c>
      <c r="V3" s="108">
        <f ca="1">IFERROR(__xludf.DUMMYFUNCTION("""COMPUTED_VALUE"""),3)</f>
        <v>3</v>
      </c>
      <c r="W3" s="108">
        <f ca="1">IFERROR(__xludf.DUMMYFUNCTION("""COMPUTED_VALUE"""),0)</f>
        <v>0</v>
      </c>
      <c r="X3" s="108">
        <f ca="1">IFERROR(__xludf.DUMMYFUNCTION("""COMPUTED_VALUE"""),0)</f>
        <v>0</v>
      </c>
      <c r="Y3" s="108">
        <f ca="1">IFERROR(__xludf.DUMMYFUNCTION("""COMPUTED_VALUE"""),0)</f>
        <v>0</v>
      </c>
      <c r="Z3" s="108">
        <f ca="1">IFERROR(__xludf.DUMMYFUNCTION("""COMPUTED_VALUE"""),0)</f>
        <v>0</v>
      </c>
      <c r="AA3" s="108">
        <f ca="1">IFERROR(__xludf.DUMMYFUNCTION("""COMPUTED_VALUE"""),1)</f>
        <v>1</v>
      </c>
      <c r="AB3" s="108">
        <f ca="1">IFERROR(__xludf.DUMMYFUNCTION("""COMPUTED_VALUE"""),1)</f>
        <v>1</v>
      </c>
      <c r="AC3" s="108">
        <f ca="1">IFERROR(__xludf.DUMMYFUNCTION("""COMPUTED_VALUE"""),10)</f>
        <v>10</v>
      </c>
      <c r="AD3" s="108">
        <f ca="1">IFERROR(__xludf.DUMMYFUNCTION("""COMPUTED_VALUE"""),11)</f>
        <v>11</v>
      </c>
      <c r="AE3" s="108">
        <f ca="1">IFERROR(__xludf.DUMMYFUNCTION("""COMPUTED_VALUE"""),29)</f>
        <v>29</v>
      </c>
      <c r="AF3" s="108">
        <f ca="1">IFERROR(__xludf.DUMMYFUNCTION("""COMPUTED_VALUE"""),29)</f>
        <v>29</v>
      </c>
      <c r="AG3" s="108">
        <f ca="1">IFERROR(__xludf.DUMMYFUNCTION("""COMPUTED_VALUE"""),27)</f>
        <v>27</v>
      </c>
      <c r="AH3" s="108">
        <f ca="1">IFERROR(__xludf.DUMMYFUNCTION("""COMPUTED_VALUE"""),27)</f>
        <v>27</v>
      </c>
      <c r="AI3" s="108">
        <f ca="1">IFERROR(__xludf.DUMMYFUNCTION("""COMPUTED_VALUE"""),0)</f>
        <v>0</v>
      </c>
      <c r="AJ3" s="108">
        <f ca="1">IFERROR(__xludf.DUMMYFUNCTION("""COMPUTED_VALUE"""),0)</f>
        <v>0</v>
      </c>
      <c r="AK3" s="108">
        <f ca="1">IFERROR(__xludf.DUMMYFUNCTION("""COMPUTED_VALUE"""),0)</f>
        <v>0</v>
      </c>
      <c r="AL3" s="108">
        <f ca="1">IFERROR(__xludf.DUMMYFUNCTION("""COMPUTED_VALUE"""),0)</f>
        <v>0</v>
      </c>
      <c r="AM3" s="108">
        <f ca="1">IFERROR(__xludf.DUMMYFUNCTION("""COMPUTED_VALUE"""),1)</f>
        <v>1</v>
      </c>
      <c r="AN3" s="108">
        <f ca="1">IFERROR(__xludf.DUMMYFUNCTION("""COMPUTED_VALUE"""),1)</f>
        <v>1</v>
      </c>
      <c r="AO3" s="108">
        <f ca="1">IFERROR(__xludf.DUMMYFUNCTION("""COMPUTED_VALUE"""),0)</f>
        <v>0</v>
      </c>
      <c r="AP3" s="108">
        <f ca="1">IFERROR(__xludf.DUMMYFUNCTION("""COMPUTED_VALUE"""),0)</f>
        <v>0</v>
      </c>
      <c r="AQ3" s="108">
        <f ca="1">IFERROR(__xludf.DUMMYFUNCTION("""COMPUTED_VALUE"""),3)</f>
        <v>3</v>
      </c>
      <c r="AR3" s="108">
        <f ca="1">IFERROR(__xludf.DUMMYFUNCTION("""COMPUTED_VALUE"""),3)</f>
        <v>3</v>
      </c>
      <c r="AS3" s="108">
        <f ca="1">IFERROR(__xludf.DUMMYFUNCTION("""COMPUTED_VALUE"""),1)</f>
        <v>1</v>
      </c>
      <c r="AT3" s="108">
        <f ca="1">IFERROR(__xludf.DUMMYFUNCTION("""COMPUTED_VALUE"""),1)</f>
        <v>1</v>
      </c>
      <c r="AU3" s="108">
        <f ca="1">IFERROR(__xludf.DUMMYFUNCTION("""COMPUTED_VALUE"""),0)</f>
        <v>0</v>
      </c>
      <c r="AV3" s="108">
        <f ca="1">IFERROR(__xludf.DUMMYFUNCTION("""COMPUTED_VALUE"""),0)</f>
        <v>0</v>
      </c>
      <c r="AW3" s="108">
        <f ca="1">IFERROR(__xludf.DUMMYFUNCTION("""COMPUTED_VALUE"""),6)</f>
        <v>6</v>
      </c>
      <c r="AX3" s="108">
        <f ca="1">IFERROR(__xludf.DUMMYFUNCTION("""COMPUTED_VALUE"""),6)</f>
        <v>6</v>
      </c>
      <c r="AY3" s="108">
        <f ca="1">IFERROR(__xludf.DUMMYFUNCTION("""COMPUTED_VALUE"""),0)</f>
        <v>0</v>
      </c>
      <c r="AZ3" s="108">
        <f ca="1">IFERROR(__xludf.DUMMYFUNCTION("""COMPUTED_VALUE"""),0)</f>
        <v>0</v>
      </c>
      <c r="BA3" s="108">
        <f ca="1">IFERROR(__xludf.DUMMYFUNCTION("""COMPUTED_VALUE"""),35)</f>
        <v>35</v>
      </c>
      <c r="BB3" s="108">
        <f ca="1">IFERROR(__xludf.DUMMYFUNCTION("""COMPUTED_VALUE"""),35)</f>
        <v>35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</row>
    <row r="5" spans="1:67" ht="12.75">
      <c r="A5" s="638"/>
      <c r="B5" s="109" t="s">
        <v>21</v>
      </c>
      <c r="C5" s="110" t="s">
        <v>22</v>
      </c>
    </row>
    <row r="6" spans="1:67" ht="12.75">
      <c r="A6" s="111" t="s">
        <v>23</v>
      </c>
      <c r="B6" s="112"/>
      <c r="C6" s="11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</row>
    <row r="8" spans="1:67" ht="12.75">
      <c r="A8" s="114" t="s">
        <v>25</v>
      </c>
      <c r="B8" s="115"/>
      <c r="C8" s="116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</row>
    <row r="10" spans="1:67" ht="12.75">
      <c r="A10" s="114" t="s">
        <v>27</v>
      </c>
      <c r="B10" s="115">
        <f t="shared" ref="B10:C10" ca="1" si="2">SUM(M:M)</f>
        <v>2</v>
      </c>
      <c r="C10" s="116">
        <f t="shared" ca="1" si="2"/>
        <v>2</v>
      </c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0</v>
      </c>
      <c r="C12" s="116">
        <f t="shared" ca="1" si="3"/>
        <v>0</v>
      </c>
    </row>
    <row r="13" spans="1:67" ht="12.75">
      <c r="A13" s="114" t="s">
        <v>30</v>
      </c>
      <c r="B13" s="115">
        <f t="shared" ref="B13:C13" ca="1" si="4">SUM(Q:Q)</f>
        <v>3</v>
      </c>
      <c r="C13" s="116">
        <f t="shared" ca="1" si="4"/>
        <v>3</v>
      </c>
    </row>
    <row r="14" spans="1:67" ht="12.75">
      <c r="A14" s="114" t="s">
        <v>31</v>
      </c>
      <c r="B14" s="115">
        <f t="shared" ref="B14:C14" ca="1" si="5">SUM(S:S)</f>
        <v>13</v>
      </c>
      <c r="C14" s="116">
        <f t="shared" ca="1" si="5"/>
        <v>21</v>
      </c>
    </row>
    <row r="15" spans="1:67" ht="12.75">
      <c r="A15" s="117" t="s">
        <v>32</v>
      </c>
      <c r="B15" s="118">
        <f t="shared" ref="B15:C15" ca="1" si="6">SUM(B6:B14)</f>
        <v>18</v>
      </c>
      <c r="C15" s="119">
        <f t="shared" ca="1" si="6"/>
        <v>26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3</v>
      </c>
      <c r="C17" s="116">
        <f t="shared" ca="1" si="7"/>
        <v>3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1</v>
      </c>
      <c r="C20" s="116">
        <f t="shared" ca="1" si="10"/>
        <v>1</v>
      </c>
    </row>
    <row r="21" spans="1:3" ht="12.75">
      <c r="A21" s="114" t="s">
        <v>38</v>
      </c>
      <c r="B21" s="115">
        <f t="shared" ref="B21:C21" ca="1" si="11">SUM(AC:AC)</f>
        <v>10</v>
      </c>
      <c r="C21" s="116">
        <f t="shared" ca="1" si="11"/>
        <v>11</v>
      </c>
    </row>
    <row r="22" spans="1:3" ht="12.75">
      <c r="A22" s="114" t="s">
        <v>39</v>
      </c>
      <c r="B22" s="115">
        <f t="shared" ref="B22:C22" ca="1" si="12">SUM(AE:AE)</f>
        <v>29</v>
      </c>
      <c r="C22" s="116">
        <f t="shared" ca="1" si="12"/>
        <v>29</v>
      </c>
    </row>
    <row r="23" spans="1:3" ht="12.75">
      <c r="A23" s="114" t="s">
        <v>40</v>
      </c>
      <c r="B23" s="115">
        <f t="shared" ref="B23:C23" ca="1" si="13">SUM(AG:AG)</f>
        <v>27</v>
      </c>
      <c r="C23" s="116">
        <f t="shared" ca="1" si="13"/>
        <v>27</v>
      </c>
    </row>
    <row r="24" spans="1:3" ht="12.75">
      <c r="A24" s="117" t="s">
        <v>32</v>
      </c>
      <c r="B24" s="118">
        <f t="shared" ref="B24:C24" ca="1" si="14">SUM(B17:B23)</f>
        <v>70</v>
      </c>
      <c r="C24" s="119">
        <f t="shared" ca="1" si="14"/>
        <v>71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0</v>
      </c>
      <c r="C27" s="116">
        <f t="shared" ca="1" si="16"/>
        <v>0</v>
      </c>
    </row>
    <row r="28" spans="1:3" ht="12.75">
      <c r="A28" s="114" t="s">
        <v>44</v>
      </c>
      <c r="B28" s="115">
        <f t="shared" ref="B28:C28" ca="1" si="17">SUM(AM:AM)</f>
        <v>1</v>
      </c>
      <c r="C28" s="116">
        <f t="shared" ca="1" si="17"/>
        <v>1</v>
      </c>
    </row>
    <row r="29" spans="1:3" ht="12.75">
      <c r="A29" s="117" t="s">
        <v>32</v>
      </c>
      <c r="B29" s="118">
        <f t="shared" ref="B29:C29" ca="1" si="18">SUM(B26:B28)</f>
        <v>1</v>
      </c>
      <c r="C29" s="119">
        <f t="shared" ca="1" si="18"/>
        <v>1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3</v>
      </c>
      <c r="C32" s="116">
        <f t="shared" ca="1" si="20"/>
        <v>3</v>
      </c>
    </row>
    <row r="33" spans="1:67" ht="12.75">
      <c r="A33" s="114" t="s">
        <v>48</v>
      </c>
      <c r="B33" s="115">
        <f t="shared" ref="B33:C33" ca="1" si="21">SUM(AS:AS)</f>
        <v>1</v>
      </c>
      <c r="C33" s="116">
        <f t="shared" ca="1" si="21"/>
        <v>1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6</v>
      </c>
      <c r="C35" s="116">
        <f t="shared" ca="1" si="23"/>
        <v>6</v>
      </c>
    </row>
    <row r="36" spans="1:67" ht="12.75">
      <c r="A36" s="117" t="s">
        <v>32</v>
      </c>
      <c r="B36" s="118">
        <f t="shared" ref="B36:C36" ca="1" si="24">SUM(B31:B35)</f>
        <v>10</v>
      </c>
      <c r="C36" s="119">
        <f t="shared" ca="1" si="24"/>
        <v>10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35</v>
      </c>
      <c r="C38" s="124">
        <f t="shared" ca="1" si="26"/>
        <v>35</v>
      </c>
    </row>
    <row r="39" spans="1:67" ht="15">
      <c r="A39" s="126" t="s">
        <v>20</v>
      </c>
      <c r="B39" s="127">
        <f t="shared" ref="B39:C39" ca="1" si="27">SUM(B15,B24,B29,B36,B37,B38)</f>
        <v>134</v>
      </c>
      <c r="C39" s="128">
        <f t="shared" ca="1" si="27"/>
        <v>143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 t="s">
        <v>77</v>
      </c>
      <c r="C2" s="102" t="s">
        <v>72</v>
      </c>
      <c r="D2" s="103" t="str">
        <f ca="1">IFERROR(__xludf.DUMMYFUNCTION("QUERY('Form Responses 1'!A:BE,""select * where A&gt;= datetime '""&amp;TEXT(B3,""yyyy-mm-dd HH:mm:ss"")&amp;""' and A&lt;= datetime '""&amp;TEXT(B3+1,""yyyy-mm-dd HH:mm:ss"")&amp;""' and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8</v>
      </c>
      <c r="B3" s="141" t="e">
        <f>#REF!</f>
        <v>#REF!</v>
      </c>
      <c r="C3" s="131" t="e">
        <f>B3-1</f>
        <v>#REF!</v>
      </c>
      <c r="D3" s="130">
        <f ca="1">IFERROR(__xludf.DUMMYFUNCTION("""COMPUTED_VALUE"""),44470.3069880208)</f>
        <v>44470.306988020799</v>
      </c>
      <c r="E3" s="108" t="str">
        <f ca="1">IFERROR(__xludf.DUMMYFUNCTION("""COMPUTED_VALUE"""),"p9@rtp.com")</f>
        <v>p9@rtp.com</v>
      </c>
      <c r="F3" s="108" t="str">
        <f ca="1">IFERROR(__xludf.DUMMYFUNCTION("""COMPUTED_VALUE"""),"rtp2021")</f>
        <v>rtp2021</v>
      </c>
      <c r="G3" s="108"/>
      <c r="H3" s="108" t="str">
        <f ca="1">IFERROR(__xludf.DUMMYFUNCTION("""COMPUTED_VALUE"""),"ภ.9")</f>
        <v>ภ.9</v>
      </c>
      <c r="I3" s="108">
        <f ca="1">IFERROR(__xludf.DUMMYFUNCTION("""COMPUTED_VALUE"""),0)</f>
        <v>0</v>
      </c>
      <c r="J3" s="108">
        <f ca="1">IFERROR(__xludf.DUMMYFUNCTION("""COMPUTED_VALUE"""),0)</f>
        <v>0</v>
      </c>
      <c r="K3" s="108">
        <f ca="1">IFERROR(__xludf.DUMMYFUNCTION("""COMPUTED_VALUE"""),1)</f>
        <v>1</v>
      </c>
      <c r="L3" s="108">
        <f ca="1">IFERROR(__xludf.DUMMYFUNCTION("""COMPUTED_VALUE"""),1)</f>
        <v>1</v>
      </c>
      <c r="M3" s="108">
        <f ca="1">IFERROR(__xludf.DUMMYFUNCTION("""COMPUTED_VALUE"""),2)</f>
        <v>2</v>
      </c>
      <c r="N3" s="108">
        <f ca="1">IFERROR(__xludf.DUMMYFUNCTION("""COMPUTED_VALUE"""),2)</f>
        <v>2</v>
      </c>
      <c r="O3" s="108">
        <f ca="1">IFERROR(__xludf.DUMMYFUNCTION("""COMPUTED_VALUE"""),3)</f>
        <v>3</v>
      </c>
      <c r="P3" s="108">
        <f ca="1">IFERROR(__xludf.DUMMYFUNCTION("""COMPUTED_VALUE"""),4)</f>
        <v>4</v>
      </c>
      <c r="Q3" s="108">
        <f ca="1">IFERROR(__xludf.DUMMYFUNCTION("""COMPUTED_VALUE"""),0)</f>
        <v>0</v>
      </c>
      <c r="R3" s="108">
        <f ca="1">IFERROR(__xludf.DUMMYFUNCTION("""COMPUTED_VALUE"""),0)</f>
        <v>0</v>
      </c>
      <c r="S3" s="108">
        <f ca="1">IFERROR(__xludf.DUMMYFUNCTION("""COMPUTED_VALUE"""),2)</f>
        <v>2</v>
      </c>
      <c r="T3" s="108">
        <f ca="1">IFERROR(__xludf.DUMMYFUNCTION("""COMPUTED_VALUE"""),7)</f>
        <v>7</v>
      </c>
      <c r="U3" s="108">
        <f ca="1">IFERROR(__xludf.DUMMYFUNCTION("""COMPUTED_VALUE"""),1)</f>
        <v>1</v>
      </c>
      <c r="V3" s="108">
        <f ca="1">IFERROR(__xludf.DUMMYFUNCTION("""COMPUTED_VALUE"""),1)</f>
        <v>1</v>
      </c>
      <c r="W3" s="108">
        <f ca="1">IFERROR(__xludf.DUMMYFUNCTION("""COMPUTED_VALUE"""),0)</f>
        <v>0</v>
      </c>
      <c r="X3" s="108">
        <f ca="1">IFERROR(__xludf.DUMMYFUNCTION("""COMPUTED_VALUE"""),0)</f>
        <v>0</v>
      </c>
      <c r="Y3" s="108">
        <f ca="1">IFERROR(__xludf.DUMMYFUNCTION("""COMPUTED_VALUE"""),0)</f>
        <v>0</v>
      </c>
      <c r="Z3" s="108">
        <f ca="1">IFERROR(__xludf.DUMMYFUNCTION("""COMPUTED_VALUE"""),0)</f>
        <v>0</v>
      </c>
      <c r="AA3" s="108">
        <f ca="1">IFERROR(__xludf.DUMMYFUNCTION("""COMPUTED_VALUE"""),0)</f>
        <v>0</v>
      </c>
      <c r="AB3" s="108">
        <f ca="1">IFERROR(__xludf.DUMMYFUNCTION("""COMPUTED_VALUE"""),0)</f>
        <v>0</v>
      </c>
      <c r="AC3" s="108">
        <f ca="1">IFERROR(__xludf.DUMMYFUNCTION("""COMPUTED_VALUE"""),14)</f>
        <v>14</v>
      </c>
      <c r="AD3" s="108">
        <f ca="1">IFERROR(__xludf.DUMMYFUNCTION("""COMPUTED_VALUE"""),14)</f>
        <v>14</v>
      </c>
      <c r="AE3" s="108">
        <f ca="1">IFERROR(__xludf.DUMMYFUNCTION("""COMPUTED_VALUE"""),16)</f>
        <v>16</v>
      </c>
      <c r="AF3" s="108">
        <f ca="1">IFERROR(__xludf.DUMMYFUNCTION("""COMPUTED_VALUE"""),18)</f>
        <v>18</v>
      </c>
      <c r="AG3" s="108">
        <f ca="1">IFERROR(__xludf.DUMMYFUNCTION("""COMPUTED_VALUE"""),18)</f>
        <v>18</v>
      </c>
      <c r="AH3" s="108">
        <f ca="1">IFERROR(__xludf.DUMMYFUNCTION("""COMPUTED_VALUE"""),18)</f>
        <v>18</v>
      </c>
      <c r="AI3" s="108">
        <f ca="1">IFERROR(__xludf.DUMMYFUNCTION("""COMPUTED_VALUE"""),1)</f>
        <v>1</v>
      </c>
      <c r="AJ3" s="108">
        <f ca="1">IFERROR(__xludf.DUMMYFUNCTION("""COMPUTED_VALUE"""),1)</f>
        <v>1</v>
      </c>
      <c r="AK3" s="108">
        <f ca="1">IFERROR(__xludf.DUMMYFUNCTION("""COMPUTED_VALUE"""),0)</f>
        <v>0</v>
      </c>
      <c r="AL3" s="108">
        <f ca="1">IFERROR(__xludf.DUMMYFUNCTION("""COMPUTED_VALUE"""),0)</f>
        <v>0</v>
      </c>
      <c r="AM3" s="108">
        <f ca="1">IFERROR(__xludf.DUMMYFUNCTION("""COMPUTED_VALUE"""),1)</f>
        <v>1</v>
      </c>
      <c r="AN3" s="108">
        <f ca="1">IFERROR(__xludf.DUMMYFUNCTION("""COMPUTED_VALUE"""),12)</f>
        <v>12</v>
      </c>
      <c r="AO3" s="108">
        <f ca="1">IFERROR(__xludf.DUMMYFUNCTION("""COMPUTED_VALUE"""),0)</f>
        <v>0</v>
      </c>
      <c r="AP3" s="108">
        <f ca="1">IFERROR(__xludf.DUMMYFUNCTION("""COMPUTED_VALUE"""),0)</f>
        <v>0</v>
      </c>
      <c r="AQ3" s="108">
        <f ca="1">IFERROR(__xludf.DUMMYFUNCTION("""COMPUTED_VALUE"""),1)</f>
        <v>1</v>
      </c>
      <c r="AR3" s="108">
        <f ca="1">IFERROR(__xludf.DUMMYFUNCTION("""COMPUTED_VALUE"""),2)</f>
        <v>2</v>
      </c>
      <c r="AS3" s="108">
        <f ca="1">IFERROR(__xludf.DUMMYFUNCTION("""COMPUTED_VALUE"""),1)</f>
        <v>1</v>
      </c>
      <c r="AT3" s="108">
        <f ca="1">IFERROR(__xludf.DUMMYFUNCTION("""COMPUTED_VALUE"""),1)</f>
        <v>1</v>
      </c>
      <c r="AU3" s="108">
        <f ca="1">IFERROR(__xludf.DUMMYFUNCTION("""COMPUTED_VALUE"""),0)</f>
        <v>0</v>
      </c>
      <c r="AV3" s="108">
        <f ca="1">IFERROR(__xludf.DUMMYFUNCTION("""COMPUTED_VALUE"""),0)</f>
        <v>0</v>
      </c>
      <c r="AW3" s="108">
        <f ca="1">IFERROR(__xludf.DUMMYFUNCTION("""COMPUTED_VALUE"""),29)</f>
        <v>29</v>
      </c>
      <c r="AX3" s="108">
        <f ca="1">IFERROR(__xludf.DUMMYFUNCTION("""COMPUTED_VALUE"""),29)</f>
        <v>29</v>
      </c>
      <c r="AY3" s="108">
        <f ca="1">IFERROR(__xludf.DUMMYFUNCTION("""COMPUTED_VALUE"""),0)</f>
        <v>0</v>
      </c>
      <c r="AZ3" s="108">
        <f ca="1">IFERROR(__xludf.DUMMYFUNCTION("""COMPUTED_VALUE"""),0)</f>
        <v>0</v>
      </c>
      <c r="BA3" s="108">
        <f ca="1">IFERROR(__xludf.DUMMYFUNCTION("""COMPUTED_VALUE"""),30)</f>
        <v>30</v>
      </c>
      <c r="BB3" s="108">
        <f ca="1">IFERROR(__xludf.DUMMYFUNCTION("""COMPUTED_VALUE"""),29)</f>
        <v>29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</row>
    <row r="5" spans="1:67" ht="12.75">
      <c r="A5" s="638"/>
      <c r="B5" s="109" t="s">
        <v>21</v>
      </c>
      <c r="C5" s="110" t="s">
        <v>22</v>
      </c>
    </row>
    <row r="6" spans="1:67" ht="12.75">
      <c r="A6" s="111" t="s">
        <v>23</v>
      </c>
      <c r="B6" s="112"/>
      <c r="C6" s="11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</row>
    <row r="8" spans="1:67" ht="12.75">
      <c r="A8" s="114" t="s">
        <v>25</v>
      </c>
      <c r="B8" s="115"/>
      <c r="C8" s="116"/>
    </row>
    <row r="9" spans="1:67" ht="12.75">
      <c r="A9" s="114" t="s">
        <v>26</v>
      </c>
      <c r="B9" s="115">
        <f t="shared" ref="B9:C9" ca="1" si="1">SUM(K:K)</f>
        <v>1</v>
      </c>
      <c r="C9" s="116">
        <f t="shared" ca="1" si="1"/>
        <v>1</v>
      </c>
    </row>
    <row r="10" spans="1:67" ht="12.75">
      <c r="A10" s="114" t="s">
        <v>27</v>
      </c>
      <c r="B10" s="115">
        <f t="shared" ref="B10:C10" ca="1" si="2">SUM(M:M)</f>
        <v>2</v>
      </c>
      <c r="C10" s="116">
        <f t="shared" ca="1" si="2"/>
        <v>2</v>
      </c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3</v>
      </c>
      <c r="C12" s="116">
        <f t="shared" ca="1" si="3"/>
        <v>4</v>
      </c>
    </row>
    <row r="13" spans="1:67" ht="12.75">
      <c r="A13" s="114" t="s">
        <v>30</v>
      </c>
      <c r="B13" s="115">
        <f t="shared" ref="B13:C13" ca="1" si="4">SUM(Q:Q)</f>
        <v>0</v>
      </c>
      <c r="C13" s="116">
        <f t="shared" ca="1" si="4"/>
        <v>0</v>
      </c>
    </row>
    <row r="14" spans="1:67" ht="12.75">
      <c r="A14" s="114" t="s">
        <v>31</v>
      </c>
      <c r="B14" s="115">
        <f t="shared" ref="B14:C14" ca="1" si="5">SUM(S:S)</f>
        <v>2</v>
      </c>
      <c r="C14" s="116">
        <f t="shared" ca="1" si="5"/>
        <v>7</v>
      </c>
    </row>
    <row r="15" spans="1:67" ht="12.75">
      <c r="A15" s="117" t="s">
        <v>32</v>
      </c>
      <c r="B15" s="118">
        <f t="shared" ref="B15:C15" ca="1" si="6">SUM(B6:B14)</f>
        <v>8</v>
      </c>
      <c r="C15" s="119">
        <f t="shared" ca="1" si="6"/>
        <v>14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1</v>
      </c>
      <c r="C17" s="116">
        <f t="shared" ca="1" si="7"/>
        <v>1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0</v>
      </c>
      <c r="C20" s="116">
        <f t="shared" ca="1" si="10"/>
        <v>0</v>
      </c>
    </row>
    <row r="21" spans="1:3" ht="12.75">
      <c r="A21" s="114" t="s">
        <v>38</v>
      </c>
      <c r="B21" s="115">
        <f t="shared" ref="B21:C21" ca="1" si="11">SUM(AC:AC)</f>
        <v>14</v>
      </c>
      <c r="C21" s="116">
        <f t="shared" ca="1" si="11"/>
        <v>14</v>
      </c>
    </row>
    <row r="22" spans="1:3" ht="12.75">
      <c r="A22" s="114" t="s">
        <v>39</v>
      </c>
      <c r="B22" s="115">
        <f t="shared" ref="B22:C22" ca="1" si="12">SUM(AE:AE)</f>
        <v>16</v>
      </c>
      <c r="C22" s="116">
        <f t="shared" ca="1" si="12"/>
        <v>18</v>
      </c>
    </row>
    <row r="23" spans="1:3" ht="12.75">
      <c r="A23" s="114" t="s">
        <v>40</v>
      </c>
      <c r="B23" s="115">
        <f t="shared" ref="B23:C23" ca="1" si="13">SUM(AG:AG)</f>
        <v>18</v>
      </c>
      <c r="C23" s="116">
        <f t="shared" ca="1" si="13"/>
        <v>18</v>
      </c>
    </row>
    <row r="24" spans="1:3" ht="12.75">
      <c r="A24" s="117" t="s">
        <v>32</v>
      </c>
      <c r="B24" s="118">
        <f t="shared" ref="B24:C24" ca="1" si="14">SUM(B17:B23)</f>
        <v>49</v>
      </c>
      <c r="C24" s="119">
        <f t="shared" ca="1" si="14"/>
        <v>51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1</v>
      </c>
      <c r="C26" s="116">
        <f t="shared" ca="1" si="15"/>
        <v>1</v>
      </c>
    </row>
    <row r="27" spans="1:3" ht="12.75">
      <c r="A27" s="114" t="s">
        <v>43</v>
      </c>
      <c r="B27" s="115">
        <f t="shared" ref="B27:C27" ca="1" si="16">SUM(AK:AK)</f>
        <v>0</v>
      </c>
      <c r="C27" s="116">
        <f t="shared" ca="1" si="16"/>
        <v>0</v>
      </c>
    </row>
    <row r="28" spans="1:3" ht="12.75">
      <c r="A28" s="114" t="s">
        <v>44</v>
      </c>
      <c r="B28" s="115">
        <f t="shared" ref="B28:C28" ca="1" si="17">SUM(AM:AM)</f>
        <v>1</v>
      </c>
      <c r="C28" s="116">
        <f t="shared" ca="1" si="17"/>
        <v>12</v>
      </c>
    </row>
    <row r="29" spans="1:3" ht="12.75">
      <c r="A29" s="117" t="s">
        <v>32</v>
      </c>
      <c r="B29" s="118">
        <f t="shared" ref="B29:C29" ca="1" si="18">SUM(B26:B28)</f>
        <v>2</v>
      </c>
      <c r="C29" s="119">
        <f t="shared" ca="1" si="18"/>
        <v>13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1</v>
      </c>
      <c r="C32" s="116">
        <f t="shared" ca="1" si="20"/>
        <v>2</v>
      </c>
    </row>
    <row r="33" spans="1:67" ht="12.75">
      <c r="A33" s="114" t="s">
        <v>48</v>
      </c>
      <c r="B33" s="115">
        <f t="shared" ref="B33:C33" ca="1" si="21">SUM(AS:AS)</f>
        <v>1</v>
      </c>
      <c r="C33" s="116">
        <f t="shared" ca="1" si="21"/>
        <v>1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29</v>
      </c>
      <c r="C35" s="116">
        <f t="shared" ca="1" si="23"/>
        <v>29</v>
      </c>
    </row>
    <row r="36" spans="1:67" ht="12.75">
      <c r="A36" s="117" t="s">
        <v>32</v>
      </c>
      <c r="B36" s="118">
        <f t="shared" ref="B36:C36" ca="1" si="24">SUM(B31:B35)</f>
        <v>31</v>
      </c>
      <c r="C36" s="119">
        <f t="shared" ca="1" si="24"/>
        <v>32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30</v>
      </c>
      <c r="C38" s="124">
        <f t="shared" ca="1" si="26"/>
        <v>29</v>
      </c>
    </row>
    <row r="39" spans="1:67" ht="15">
      <c r="A39" s="126" t="s">
        <v>20</v>
      </c>
      <c r="B39" s="127">
        <f t="shared" ref="B39:C39" ca="1" si="27">SUM(B15,B24,B29,B36,B37,B38)</f>
        <v>120</v>
      </c>
      <c r="C39" s="128">
        <f t="shared" ca="1" si="27"/>
        <v>139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 t="s">
        <v>77</v>
      </c>
      <c r="C2" s="102" t="s">
        <v>72</v>
      </c>
      <c r="D2" s="103" t="str">
        <f ca="1">IFERROR(__xludf.DUMMYFUNCTION("QUERY('Form Responses 1'!A:BE,""select * where A&gt;= datetime '""&amp;TEXT(B3,""yyyy-mm-dd HH:mm:ss"")&amp;""' and A&lt;= datetime '""&amp;TEXT(B3+1,""yyyy-mm-dd HH:mm:ss"")&amp;""' and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5</v>
      </c>
      <c r="B3" s="141" t="e">
        <f>#REF!</f>
        <v>#REF!</v>
      </c>
      <c r="C3" s="131" t="e">
        <f>B3-1</f>
        <v>#REF!</v>
      </c>
      <c r="D3" s="130">
        <f ca="1">IFERROR(__xludf.DUMMYFUNCTION("""COMPUTED_VALUE"""),44470.3129217824)</f>
        <v>44470.312921782403</v>
      </c>
      <c r="E3" s="108" t="str">
        <f ca="1">IFERROR(__xludf.DUMMYFUNCTION("""COMPUTED_VALUE"""),"central@rtp.com")</f>
        <v>central@rtp.com</v>
      </c>
      <c r="F3" s="108" t="str">
        <f ca="1">IFERROR(__xludf.DUMMYFUNCTION("""COMPUTED_VALUE"""),"rtp2021")</f>
        <v>rtp2021</v>
      </c>
      <c r="G3" s="108"/>
      <c r="H3" s="108" t="str">
        <f ca="1">IFERROR(__xludf.DUMMYFUNCTION("""COMPUTED_VALUE"""),"บช.ก.")</f>
        <v>บช.ก.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>
        <f ca="1">IFERROR(__xludf.DUMMYFUNCTION("""COMPUTED_VALUE"""),1)</f>
        <v>1</v>
      </c>
      <c r="T3" s="108">
        <f ca="1">IFERROR(__xludf.DUMMYFUNCTION("""COMPUTED_VALUE"""),6)</f>
        <v>6</v>
      </c>
      <c r="U3" s="108"/>
      <c r="V3" s="108"/>
      <c r="W3" s="108"/>
      <c r="X3" s="108"/>
      <c r="Y3" s="108"/>
      <c r="Z3" s="108"/>
      <c r="AA3" s="108"/>
      <c r="AB3" s="108"/>
      <c r="AC3" s="108">
        <f ca="1">IFERROR(__xludf.DUMMYFUNCTION("""COMPUTED_VALUE"""),7)</f>
        <v>7</v>
      </c>
      <c r="AD3" s="108">
        <f ca="1">IFERROR(__xludf.DUMMYFUNCTION("""COMPUTED_VALUE"""),8)</f>
        <v>8</v>
      </c>
      <c r="AE3" s="108">
        <f ca="1">IFERROR(__xludf.DUMMYFUNCTION("""COMPUTED_VALUE"""),3)</f>
        <v>3</v>
      </c>
      <c r="AF3" s="108">
        <f ca="1">IFERROR(__xludf.DUMMYFUNCTION("""COMPUTED_VALUE"""),3)</f>
        <v>3</v>
      </c>
      <c r="AG3" s="108"/>
      <c r="AH3" s="108"/>
      <c r="AI3" s="108"/>
      <c r="AJ3" s="108"/>
      <c r="AK3" s="108"/>
      <c r="AL3" s="108"/>
      <c r="AM3" s="108">
        <f ca="1">IFERROR(__xludf.DUMMYFUNCTION("""COMPUTED_VALUE"""),2)</f>
        <v>2</v>
      </c>
      <c r="AN3" s="108">
        <f ca="1">IFERROR(__xludf.DUMMYFUNCTION("""COMPUTED_VALUE"""),15)</f>
        <v>15</v>
      </c>
      <c r="AO3" s="108"/>
      <c r="AP3" s="108"/>
      <c r="AQ3" s="108">
        <f ca="1">IFERROR(__xludf.DUMMYFUNCTION("""COMPUTED_VALUE"""),1)</f>
        <v>1</v>
      </c>
      <c r="AR3" s="108">
        <f ca="1">IFERROR(__xludf.DUMMYFUNCTION("""COMPUTED_VALUE"""),1)</f>
        <v>1</v>
      </c>
      <c r="AS3" s="108"/>
      <c r="AT3" s="108"/>
      <c r="AU3" s="108"/>
      <c r="AV3" s="108"/>
      <c r="AW3" s="108"/>
      <c r="AX3" s="108"/>
      <c r="AY3" s="108"/>
      <c r="AZ3" s="108"/>
      <c r="BA3" s="108">
        <f ca="1">IFERROR(__xludf.DUMMYFUNCTION("""COMPUTED_VALUE"""),76)</f>
        <v>76</v>
      </c>
      <c r="BB3" s="108">
        <f ca="1">IFERROR(__xludf.DUMMYFUNCTION("""COMPUTED_VALUE"""),67)</f>
        <v>67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</row>
    <row r="5" spans="1:67" ht="12.75">
      <c r="A5" s="638"/>
      <c r="B5" s="109" t="s">
        <v>21</v>
      </c>
      <c r="C5" s="110" t="s">
        <v>22</v>
      </c>
    </row>
    <row r="6" spans="1:67" ht="12.75">
      <c r="A6" s="111" t="s">
        <v>23</v>
      </c>
      <c r="B6" s="112"/>
      <c r="C6" s="11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</row>
    <row r="8" spans="1:67" ht="12.75">
      <c r="A8" s="114" t="s">
        <v>25</v>
      </c>
      <c r="B8" s="115"/>
      <c r="C8" s="116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</row>
    <row r="10" spans="1:67" ht="12.75">
      <c r="A10" s="114" t="s">
        <v>27</v>
      </c>
      <c r="B10" s="115">
        <f t="shared" ref="B10:C10" ca="1" si="2">SUM(M:M)</f>
        <v>0</v>
      </c>
      <c r="C10" s="116">
        <f t="shared" ca="1" si="2"/>
        <v>0</v>
      </c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0</v>
      </c>
      <c r="C12" s="116">
        <f t="shared" ca="1" si="3"/>
        <v>0</v>
      </c>
    </row>
    <row r="13" spans="1:67" ht="12.75">
      <c r="A13" s="114" t="s">
        <v>30</v>
      </c>
      <c r="B13" s="115">
        <f t="shared" ref="B13:C13" ca="1" si="4">SUM(Q:Q)</f>
        <v>0</v>
      </c>
      <c r="C13" s="116">
        <f t="shared" ca="1" si="4"/>
        <v>0</v>
      </c>
    </row>
    <row r="14" spans="1:67" ht="12.75">
      <c r="A14" s="114" t="s">
        <v>31</v>
      </c>
      <c r="B14" s="115">
        <f t="shared" ref="B14:C14" ca="1" si="5">SUM(S:S)</f>
        <v>1</v>
      </c>
      <c r="C14" s="116">
        <f t="shared" ca="1" si="5"/>
        <v>6</v>
      </c>
    </row>
    <row r="15" spans="1:67" ht="12.75">
      <c r="A15" s="117" t="s">
        <v>32</v>
      </c>
      <c r="B15" s="118">
        <f t="shared" ref="B15:C15" ca="1" si="6">SUM(B6:B14)</f>
        <v>1</v>
      </c>
      <c r="C15" s="119">
        <f t="shared" ca="1" si="6"/>
        <v>6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0</v>
      </c>
      <c r="C17" s="116">
        <f t="shared" ca="1" si="7"/>
        <v>0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0</v>
      </c>
      <c r="C20" s="116">
        <f t="shared" ca="1" si="10"/>
        <v>0</v>
      </c>
    </row>
    <row r="21" spans="1:3" ht="12.75">
      <c r="A21" s="114" t="s">
        <v>38</v>
      </c>
      <c r="B21" s="115">
        <f t="shared" ref="B21:C21" ca="1" si="11">SUM(AC:AC)</f>
        <v>7</v>
      </c>
      <c r="C21" s="116">
        <f t="shared" ca="1" si="11"/>
        <v>8</v>
      </c>
    </row>
    <row r="22" spans="1:3" ht="12.75">
      <c r="A22" s="114" t="s">
        <v>39</v>
      </c>
      <c r="B22" s="115">
        <f t="shared" ref="B22:C22" ca="1" si="12">SUM(AE:AE)</f>
        <v>3</v>
      </c>
      <c r="C22" s="116">
        <f t="shared" ca="1" si="12"/>
        <v>3</v>
      </c>
    </row>
    <row r="23" spans="1:3" ht="12.75">
      <c r="A23" s="114" t="s">
        <v>40</v>
      </c>
      <c r="B23" s="115">
        <f t="shared" ref="B23:C23" ca="1" si="13">SUM(AG:AG)</f>
        <v>0</v>
      </c>
      <c r="C23" s="116">
        <f t="shared" ca="1" si="13"/>
        <v>0</v>
      </c>
    </row>
    <row r="24" spans="1:3" ht="12.75">
      <c r="A24" s="117" t="s">
        <v>32</v>
      </c>
      <c r="B24" s="118">
        <f t="shared" ref="B24:C24" ca="1" si="14">SUM(B17:B23)</f>
        <v>10</v>
      </c>
      <c r="C24" s="119">
        <f t="shared" ca="1" si="14"/>
        <v>11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0</v>
      </c>
      <c r="C27" s="116">
        <f t="shared" ca="1" si="16"/>
        <v>0</v>
      </c>
    </row>
    <row r="28" spans="1:3" ht="12.75">
      <c r="A28" s="114" t="s">
        <v>44</v>
      </c>
      <c r="B28" s="115">
        <f t="shared" ref="B28:C28" ca="1" si="17">SUM(AM:AM)</f>
        <v>2</v>
      </c>
      <c r="C28" s="116">
        <f t="shared" ca="1" si="17"/>
        <v>15</v>
      </c>
    </row>
    <row r="29" spans="1:3" ht="12.75">
      <c r="A29" s="117" t="s">
        <v>32</v>
      </c>
      <c r="B29" s="118">
        <f t="shared" ref="B29:C29" ca="1" si="18">SUM(B26:B28)</f>
        <v>2</v>
      </c>
      <c r="C29" s="119">
        <f t="shared" ca="1" si="18"/>
        <v>15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1</v>
      </c>
      <c r="C32" s="116">
        <f t="shared" ca="1" si="20"/>
        <v>1</v>
      </c>
    </row>
    <row r="33" spans="1:67" ht="12.75">
      <c r="A33" s="114" t="s">
        <v>48</v>
      </c>
      <c r="B33" s="115">
        <f t="shared" ref="B33:C33" ca="1" si="21">SUM(AS:AS)</f>
        <v>0</v>
      </c>
      <c r="C33" s="116">
        <f t="shared" ca="1" si="21"/>
        <v>0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0</v>
      </c>
      <c r="C35" s="116">
        <f t="shared" ca="1" si="23"/>
        <v>0</v>
      </c>
    </row>
    <row r="36" spans="1:67" ht="12.75">
      <c r="A36" s="117" t="s">
        <v>32</v>
      </c>
      <c r="B36" s="118">
        <f t="shared" ref="B36:C36" ca="1" si="24">SUM(B31:B35)</f>
        <v>1</v>
      </c>
      <c r="C36" s="119">
        <f t="shared" ca="1" si="24"/>
        <v>1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76</v>
      </c>
      <c r="C38" s="124">
        <f t="shared" ca="1" si="26"/>
        <v>67</v>
      </c>
    </row>
    <row r="39" spans="1:67" ht="15">
      <c r="A39" s="126" t="s">
        <v>20</v>
      </c>
      <c r="B39" s="127">
        <f t="shared" ref="B39:C39" ca="1" si="27">SUM(B15,B24,B29,B36,B37,B38)</f>
        <v>90</v>
      </c>
      <c r="C39" s="128">
        <f t="shared" ca="1" si="27"/>
        <v>100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 t="s">
        <v>77</v>
      </c>
      <c r="C2" s="102" t="s">
        <v>72</v>
      </c>
      <c r="D2" s="103" t="str">
        <f ca="1">IFERROR(__xludf.DUMMYFUNCTION("QUERY('Form Responses 1'!A:BE,""select * where A&gt;= datetime '""&amp;TEXT(B3,""yyyy-mm-dd HH:mm:ss"")&amp;""' and A&lt;= datetime '""&amp;TEXT(B3+1,""yyyy-mm-dd HH:mm:ss"")&amp;""' and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6</v>
      </c>
      <c r="B3" s="141" t="e">
        <f>#REF!</f>
        <v>#REF!</v>
      </c>
      <c r="C3" s="131" t="e">
        <f>B3-1</f>
        <v>#REF!</v>
      </c>
      <c r="D3" s="130">
        <f ca="1">IFERROR(__xludf.DUMMYFUNCTION("""COMPUTED_VALUE"""),44470.0204472338)</f>
        <v>44470.020447233801</v>
      </c>
      <c r="E3" s="108" t="str">
        <f ca="1">IFERROR(__xludf.DUMMYFUNCTION("""COMPUTED_VALUE"""),"cyber@rtp.com")</f>
        <v>cyber@rtp.com</v>
      </c>
      <c r="F3" s="108" t="str">
        <f ca="1">IFERROR(__xludf.DUMMYFUNCTION("""COMPUTED_VALUE"""),"rtp2021")</f>
        <v>rtp2021</v>
      </c>
      <c r="G3" s="108"/>
      <c r="H3" s="108" t="str">
        <f ca="1">IFERROR(__xludf.DUMMYFUNCTION("""COMPUTED_VALUE"""),"บช.สอท.")</f>
        <v>บช.สอท.</v>
      </c>
      <c r="I3" s="108">
        <f ca="1">IFERROR(__xludf.DUMMYFUNCTION("""COMPUTED_VALUE"""),0)</f>
        <v>0</v>
      </c>
      <c r="J3" s="108">
        <f ca="1">IFERROR(__xludf.DUMMYFUNCTION("""COMPUTED_VALUE"""),0)</f>
        <v>0</v>
      </c>
      <c r="K3" s="108">
        <f ca="1">IFERROR(__xludf.DUMMYFUNCTION("""COMPUTED_VALUE"""),0)</f>
        <v>0</v>
      </c>
      <c r="L3" s="108">
        <f ca="1">IFERROR(__xludf.DUMMYFUNCTION("""COMPUTED_VALUE"""),0)</f>
        <v>0</v>
      </c>
      <c r="M3" s="108">
        <f ca="1">IFERROR(__xludf.DUMMYFUNCTION("""COMPUTED_VALUE"""),0)</f>
        <v>0</v>
      </c>
      <c r="N3" s="108">
        <f ca="1">IFERROR(__xludf.DUMMYFUNCTION("""COMPUTED_VALUE"""),0)</f>
        <v>0</v>
      </c>
      <c r="O3" s="108">
        <f ca="1">IFERROR(__xludf.DUMMYFUNCTION("""COMPUTED_VALUE"""),1)</f>
        <v>1</v>
      </c>
      <c r="P3" s="108">
        <f ca="1">IFERROR(__xludf.DUMMYFUNCTION("""COMPUTED_VALUE"""),5)</f>
        <v>5</v>
      </c>
      <c r="Q3" s="108">
        <f ca="1">IFERROR(__xludf.DUMMYFUNCTION("""COMPUTED_VALUE"""),1)</f>
        <v>1</v>
      </c>
      <c r="R3" s="108">
        <f ca="1">IFERROR(__xludf.DUMMYFUNCTION("""COMPUTED_VALUE"""),1)</f>
        <v>1</v>
      </c>
      <c r="S3" s="108">
        <f ca="1">IFERROR(__xludf.DUMMYFUNCTION("""COMPUTED_VALUE"""),2)</f>
        <v>2</v>
      </c>
      <c r="T3" s="108">
        <f ca="1">IFERROR(__xludf.DUMMYFUNCTION("""COMPUTED_VALUE"""),7)</f>
        <v>7</v>
      </c>
      <c r="U3" s="108">
        <f ca="1">IFERROR(__xludf.DUMMYFUNCTION("""COMPUTED_VALUE"""),0)</f>
        <v>0</v>
      </c>
      <c r="V3" s="108">
        <f ca="1">IFERROR(__xludf.DUMMYFUNCTION("""COMPUTED_VALUE"""),0)</f>
        <v>0</v>
      </c>
      <c r="W3" s="108">
        <f ca="1">IFERROR(__xludf.DUMMYFUNCTION("""COMPUTED_VALUE"""),0)</f>
        <v>0</v>
      </c>
      <c r="X3" s="108">
        <f ca="1">IFERROR(__xludf.DUMMYFUNCTION("""COMPUTED_VALUE"""),0)</f>
        <v>0</v>
      </c>
      <c r="Y3" s="108">
        <f ca="1">IFERROR(__xludf.DUMMYFUNCTION("""COMPUTED_VALUE"""),0)</f>
        <v>0</v>
      </c>
      <c r="Z3" s="108">
        <f ca="1">IFERROR(__xludf.DUMMYFUNCTION("""COMPUTED_VALUE"""),0)</f>
        <v>0</v>
      </c>
      <c r="AA3" s="108">
        <f ca="1">IFERROR(__xludf.DUMMYFUNCTION("""COMPUTED_VALUE"""),0)</f>
        <v>0</v>
      </c>
      <c r="AB3" s="108">
        <f ca="1">IFERROR(__xludf.DUMMYFUNCTION("""COMPUTED_VALUE"""),0)</f>
        <v>0</v>
      </c>
      <c r="AC3" s="108">
        <f ca="1">IFERROR(__xludf.DUMMYFUNCTION("""COMPUTED_VALUE"""),0)</f>
        <v>0</v>
      </c>
      <c r="AD3" s="108">
        <f ca="1">IFERROR(__xludf.DUMMYFUNCTION("""COMPUTED_VALUE"""),0)</f>
        <v>0</v>
      </c>
      <c r="AE3" s="108">
        <f ca="1">IFERROR(__xludf.DUMMYFUNCTION("""COMPUTED_VALUE"""),1)</f>
        <v>1</v>
      </c>
      <c r="AF3" s="108">
        <f ca="1">IFERROR(__xludf.DUMMYFUNCTION("""COMPUTED_VALUE"""),1)</f>
        <v>1</v>
      </c>
      <c r="AG3" s="108">
        <f ca="1">IFERROR(__xludf.DUMMYFUNCTION("""COMPUTED_VALUE"""),4)</f>
        <v>4</v>
      </c>
      <c r="AH3" s="108">
        <f ca="1">IFERROR(__xludf.DUMMYFUNCTION("""COMPUTED_VALUE"""),4)</f>
        <v>4</v>
      </c>
      <c r="AI3" s="108">
        <f ca="1">IFERROR(__xludf.DUMMYFUNCTION("""COMPUTED_VALUE"""),0)</f>
        <v>0</v>
      </c>
      <c r="AJ3" s="108">
        <f ca="1">IFERROR(__xludf.DUMMYFUNCTION("""COMPUTED_VALUE"""),0)</f>
        <v>0</v>
      </c>
      <c r="AK3" s="108">
        <f ca="1">IFERROR(__xludf.DUMMYFUNCTION("""COMPUTED_VALUE"""),0)</f>
        <v>0</v>
      </c>
      <c r="AL3" s="108">
        <f ca="1">IFERROR(__xludf.DUMMYFUNCTION("""COMPUTED_VALUE"""),0)</f>
        <v>0</v>
      </c>
      <c r="AM3" s="108">
        <f ca="1">IFERROR(__xludf.DUMMYFUNCTION("""COMPUTED_VALUE"""),0)</f>
        <v>0</v>
      </c>
      <c r="AN3" s="108">
        <f ca="1">IFERROR(__xludf.DUMMYFUNCTION("""COMPUTED_VALUE"""),0)</f>
        <v>0</v>
      </c>
      <c r="AO3" s="108">
        <f ca="1">IFERROR(__xludf.DUMMYFUNCTION("""COMPUTED_VALUE"""),0)</f>
        <v>0</v>
      </c>
      <c r="AP3" s="108">
        <f ca="1">IFERROR(__xludf.DUMMYFUNCTION("""COMPUTED_VALUE"""),0)</f>
        <v>0</v>
      </c>
      <c r="AQ3" s="108">
        <f ca="1">IFERROR(__xludf.DUMMYFUNCTION("""COMPUTED_VALUE"""),4)</f>
        <v>4</v>
      </c>
      <c r="AR3" s="108">
        <f ca="1">IFERROR(__xludf.DUMMYFUNCTION("""COMPUTED_VALUE"""),4)</f>
        <v>4</v>
      </c>
      <c r="AS3" s="108">
        <f ca="1">IFERROR(__xludf.DUMMYFUNCTION("""COMPUTED_VALUE"""),0)</f>
        <v>0</v>
      </c>
      <c r="AT3" s="108">
        <f ca="1">IFERROR(__xludf.DUMMYFUNCTION("""COMPUTED_VALUE"""),0)</f>
        <v>0</v>
      </c>
      <c r="AU3" s="108">
        <f ca="1">IFERROR(__xludf.DUMMYFUNCTION("""COMPUTED_VALUE"""),0)</f>
        <v>0</v>
      </c>
      <c r="AV3" s="108">
        <f ca="1">IFERROR(__xludf.DUMMYFUNCTION("""COMPUTED_VALUE"""),0)</f>
        <v>0</v>
      </c>
      <c r="AW3" s="108">
        <f ca="1">IFERROR(__xludf.DUMMYFUNCTION("""COMPUTED_VALUE"""),0)</f>
        <v>0</v>
      </c>
      <c r="AX3" s="108">
        <f ca="1">IFERROR(__xludf.DUMMYFUNCTION("""COMPUTED_VALUE"""),0)</f>
        <v>0</v>
      </c>
      <c r="AY3" s="108">
        <f ca="1">IFERROR(__xludf.DUMMYFUNCTION("""COMPUTED_VALUE"""),0)</f>
        <v>0</v>
      </c>
      <c r="AZ3" s="108">
        <f ca="1">IFERROR(__xludf.DUMMYFUNCTION("""COMPUTED_VALUE"""),0)</f>
        <v>0</v>
      </c>
      <c r="BA3" s="108">
        <f ca="1">IFERROR(__xludf.DUMMYFUNCTION("""COMPUTED_VALUE"""),41)</f>
        <v>41</v>
      </c>
      <c r="BB3" s="108">
        <f ca="1">IFERROR(__xludf.DUMMYFUNCTION("""COMPUTED_VALUE"""),41)</f>
        <v>41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</row>
    <row r="5" spans="1:67" ht="12.75">
      <c r="A5" s="638"/>
      <c r="B5" s="109" t="s">
        <v>21</v>
      </c>
      <c r="C5" s="110" t="s">
        <v>22</v>
      </c>
    </row>
    <row r="6" spans="1:67" ht="12.75">
      <c r="A6" s="111" t="s">
        <v>23</v>
      </c>
      <c r="B6" s="112"/>
      <c r="C6" s="11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</row>
    <row r="8" spans="1:67" ht="12.75">
      <c r="A8" s="114" t="s">
        <v>25</v>
      </c>
      <c r="B8" s="115"/>
      <c r="C8" s="116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</row>
    <row r="10" spans="1:67" ht="12.75">
      <c r="A10" s="114" t="s">
        <v>27</v>
      </c>
      <c r="B10" s="115">
        <f t="shared" ref="B10:C10" ca="1" si="2">SUM(M:M)</f>
        <v>0</v>
      </c>
      <c r="C10" s="116">
        <f t="shared" ca="1" si="2"/>
        <v>0</v>
      </c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1</v>
      </c>
      <c r="C12" s="116">
        <f t="shared" ca="1" si="3"/>
        <v>5</v>
      </c>
    </row>
    <row r="13" spans="1:67" ht="12.75">
      <c r="A13" s="114" t="s">
        <v>30</v>
      </c>
      <c r="B13" s="115">
        <f t="shared" ref="B13:C13" ca="1" si="4">SUM(Q:Q)</f>
        <v>1</v>
      </c>
      <c r="C13" s="116">
        <f t="shared" ca="1" si="4"/>
        <v>1</v>
      </c>
    </row>
    <row r="14" spans="1:67" ht="12.75">
      <c r="A14" s="114" t="s">
        <v>31</v>
      </c>
      <c r="B14" s="115">
        <f t="shared" ref="B14:C14" ca="1" si="5">SUM(S:S)</f>
        <v>2</v>
      </c>
      <c r="C14" s="116">
        <f t="shared" ca="1" si="5"/>
        <v>7</v>
      </c>
    </row>
    <row r="15" spans="1:67" ht="12.75">
      <c r="A15" s="117" t="s">
        <v>32</v>
      </c>
      <c r="B15" s="118">
        <f t="shared" ref="B15:C15" ca="1" si="6">SUM(B6:B14)</f>
        <v>4</v>
      </c>
      <c r="C15" s="119">
        <f t="shared" ca="1" si="6"/>
        <v>13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0</v>
      </c>
      <c r="C17" s="116">
        <f t="shared" ca="1" si="7"/>
        <v>0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0</v>
      </c>
      <c r="C20" s="116">
        <f t="shared" ca="1" si="10"/>
        <v>0</v>
      </c>
    </row>
    <row r="21" spans="1:3" ht="12.75">
      <c r="A21" s="114" t="s">
        <v>38</v>
      </c>
      <c r="B21" s="115">
        <f t="shared" ref="B21:C21" ca="1" si="11">SUM(AC:AC)</f>
        <v>0</v>
      </c>
      <c r="C21" s="116">
        <f t="shared" ca="1" si="11"/>
        <v>0</v>
      </c>
    </row>
    <row r="22" spans="1:3" ht="12.75">
      <c r="A22" s="114" t="s">
        <v>39</v>
      </c>
      <c r="B22" s="115">
        <f t="shared" ref="B22:C22" ca="1" si="12">SUM(AE:AE)</f>
        <v>1</v>
      </c>
      <c r="C22" s="116">
        <f t="shared" ca="1" si="12"/>
        <v>1</v>
      </c>
    </row>
    <row r="23" spans="1:3" ht="12.75">
      <c r="A23" s="114" t="s">
        <v>40</v>
      </c>
      <c r="B23" s="115">
        <f t="shared" ref="B23:C23" ca="1" si="13">SUM(AG:AG)</f>
        <v>4</v>
      </c>
      <c r="C23" s="116">
        <f t="shared" ca="1" si="13"/>
        <v>4</v>
      </c>
    </row>
    <row r="24" spans="1:3" ht="12.75">
      <c r="A24" s="117" t="s">
        <v>32</v>
      </c>
      <c r="B24" s="118">
        <f t="shared" ref="B24:C24" ca="1" si="14">SUM(B17:B23)</f>
        <v>5</v>
      </c>
      <c r="C24" s="119">
        <f t="shared" ca="1" si="14"/>
        <v>5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0</v>
      </c>
      <c r="C27" s="116">
        <f t="shared" ca="1" si="16"/>
        <v>0</v>
      </c>
    </row>
    <row r="28" spans="1:3" ht="12.75">
      <c r="A28" s="114" t="s">
        <v>44</v>
      </c>
      <c r="B28" s="115">
        <f t="shared" ref="B28:C28" ca="1" si="17">SUM(AM:AM)</f>
        <v>0</v>
      </c>
      <c r="C28" s="116">
        <f t="shared" ca="1" si="17"/>
        <v>0</v>
      </c>
    </row>
    <row r="29" spans="1:3" ht="12.75">
      <c r="A29" s="117" t="s">
        <v>32</v>
      </c>
      <c r="B29" s="118">
        <f t="shared" ref="B29:C29" ca="1" si="18">SUM(B26:B28)</f>
        <v>0</v>
      </c>
      <c r="C29" s="119">
        <f t="shared" ca="1" si="18"/>
        <v>0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4</v>
      </c>
      <c r="C32" s="116">
        <f t="shared" ca="1" si="20"/>
        <v>4</v>
      </c>
    </row>
    <row r="33" spans="1:67" ht="12.75">
      <c r="A33" s="114" t="s">
        <v>48</v>
      </c>
      <c r="B33" s="115">
        <f t="shared" ref="B33:C33" ca="1" si="21">SUM(AS:AS)</f>
        <v>0</v>
      </c>
      <c r="C33" s="116">
        <f t="shared" ca="1" si="21"/>
        <v>0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0</v>
      </c>
      <c r="C35" s="116">
        <f t="shared" ca="1" si="23"/>
        <v>0</v>
      </c>
    </row>
    <row r="36" spans="1:67" ht="12.75">
      <c r="A36" s="117" t="s">
        <v>32</v>
      </c>
      <c r="B36" s="118">
        <f t="shared" ref="B36:C36" ca="1" si="24">SUM(B31:B35)</f>
        <v>4</v>
      </c>
      <c r="C36" s="119">
        <f t="shared" ca="1" si="24"/>
        <v>4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41</v>
      </c>
      <c r="C38" s="124">
        <f t="shared" ca="1" si="26"/>
        <v>41</v>
      </c>
    </row>
    <row r="39" spans="1:67" ht="15">
      <c r="A39" s="126" t="s">
        <v>20</v>
      </c>
      <c r="B39" s="127">
        <f t="shared" ref="B39:C39" ca="1" si="27">SUM(B15,B24,B29,B36,B37,B38)</f>
        <v>54</v>
      </c>
      <c r="C39" s="128">
        <f t="shared" ca="1" si="27"/>
        <v>63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 t="s">
        <v>77</v>
      </c>
      <c r="C2" s="102" t="s">
        <v>72</v>
      </c>
      <c r="D2" s="103" t="str">
        <f ca="1">IFERROR(__xludf.DUMMYFUNCTION("QUERY('Form Responses 1'!A:BE,""select * where A&gt;= datetime '""&amp;TEXT(B3,""yyyy-mm-dd HH:mm:ss"")&amp;""' and A&lt;= datetime '""&amp;TEXT(B3+1,""yyyy-mm-dd HH:mm:ss"")&amp;""' and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12</v>
      </c>
      <c r="B3" s="141" t="e">
        <f>#REF!</f>
        <v>#REF!</v>
      </c>
      <c r="C3" s="131" t="e">
        <f>B3-1</f>
        <v>#REF!</v>
      </c>
      <c r="D3" s="130">
        <f ca="1">IFERROR(__xludf.DUMMYFUNCTION("""COMPUTED_VALUE"""),44470.3071269791)</f>
        <v>44470.307126979103</v>
      </c>
      <c r="E3" s="108" t="str">
        <f ca="1">IFERROR(__xludf.DUMMYFUNCTION("""COMPUTED_VALUE"""),"drug@rtp.com")</f>
        <v>drug@rtp.com</v>
      </c>
      <c r="F3" s="108" t="str">
        <f ca="1">IFERROR(__xludf.DUMMYFUNCTION("""COMPUTED_VALUE"""),"rtp2021")</f>
        <v>rtp2021</v>
      </c>
      <c r="G3" s="108"/>
      <c r="H3" s="108" t="str">
        <f ca="1">IFERROR(__xludf.DUMMYFUNCTION("""COMPUTED_VALUE"""),"บช.ปส.")</f>
        <v>บช.ปส.</v>
      </c>
      <c r="I3" s="108"/>
      <c r="J3" s="108"/>
      <c r="K3" s="108"/>
      <c r="L3" s="108"/>
      <c r="M3" s="108"/>
      <c r="N3" s="108"/>
      <c r="O3" s="108">
        <f ca="1">IFERROR(__xludf.DUMMYFUNCTION("""COMPUTED_VALUE"""),1)</f>
        <v>1</v>
      </c>
      <c r="P3" s="108">
        <f ca="1">IFERROR(__xludf.DUMMYFUNCTION("""COMPUTED_VALUE"""),2)</f>
        <v>2</v>
      </c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>
        <f ca="1">IFERROR(__xludf.DUMMYFUNCTION("""COMPUTED_VALUE"""),1)</f>
        <v>1</v>
      </c>
      <c r="AD3" s="108">
        <f ca="1">IFERROR(__xludf.DUMMYFUNCTION("""COMPUTED_VALUE"""),4)</f>
        <v>4</v>
      </c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>
        <f ca="1">IFERROR(__xludf.DUMMYFUNCTION("""COMPUTED_VALUE"""),15)</f>
        <v>15</v>
      </c>
      <c r="BB3" s="108">
        <f ca="1">IFERROR(__xludf.DUMMYFUNCTION("""COMPUTED_VALUE"""),15)</f>
        <v>15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</row>
    <row r="5" spans="1:67" ht="12.75">
      <c r="A5" s="638"/>
      <c r="B5" s="109" t="s">
        <v>21</v>
      </c>
      <c r="C5" s="110" t="s">
        <v>22</v>
      </c>
    </row>
    <row r="6" spans="1:67" ht="12.75">
      <c r="A6" s="111" t="s">
        <v>23</v>
      </c>
      <c r="B6" s="112"/>
      <c r="C6" s="11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</row>
    <row r="8" spans="1:67" ht="12.75">
      <c r="A8" s="114" t="s">
        <v>25</v>
      </c>
      <c r="B8" s="115"/>
      <c r="C8" s="116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</row>
    <row r="10" spans="1:67" ht="12.75">
      <c r="A10" s="114" t="s">
        <v>27</v>
      </c>
      <c r="B10" s="115">
        <f t="shared" ref="B10:C10" ca="1" si="2">SUM(M:M)</f>
        <v>0</v>
      </c>
      <c r="C10" s="116">
        <f t="shared" ca="1" si="2"/>
        <v>0</v>
      </c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1</v>
      </c>
      <c r="C12" s="116">
        <f t="shared" ca="1" si="3"/>
        <v>2</v>
      </c>
    </row>
    <row r="13" spans="1:67" ht="12.75">
      <c r="A13" s="114" t="s">
        <v>30</v>
      </c>
      <c r="B13" s="115">
        <f t="shared" ref="B13:C13" ca="1" si="4">SUM(Q:Q)</f>
        <v>0</v>
      </c>
      <c r="C13" s="116">
        <f t="shared" ca="1" si="4"/>
        <v>0</v>
      </c>
    </row>
    <row r="14" spans="1:67" ht="12.75">
      <c r="A14" s="114" t="s">
        <v>31</v>
      </c>
      <c r="B14" s="115">
        <f t="shared" ref="B14:C14" ca="1" si="5">SUM(S:S)</f>
        <v>0</v>
      </c>
      <c r="C14" s="116">
        <f t="shared" ca="1" si="5"/>
        <v>0</v>
      </c>
    </row>
    <row r="15" spans="1:67" ht="12.75">
      <c r="A15" s="117" t="s">
        <v>32</v>
      </c>
      <c r="B15" s="118">
        <f t="shared" ref="B15:C15" ca="1" si="6">SUM(B6:B14)</f>
        <v>1</v>
      </c>
      <c r="C15" s="119">
        <f t="shared" ca="1" si="6"/>
        <v>2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0</v>
      </c>
      <c r="C17" s="116">
        <f t="shared" ca="1" si="7"/>
        <v>0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0</v>
      </c>
      <c r="C20" s="116">
        <f t="shared" ca="1" si="10"/>
        <v>0</v>
      </c>
    </row>
    <row r="21" spans="1:3" ht="12.75">
      <c r="A21" s="114" t="s">
        <v>38</v>
      </c>
      <c r="B21" s="115">
        <f t="shared" ref="B21:C21" ca="1" si="11">SUM(AC:AC)</f>
        <v>1</v>
      </c>
      <c r="C21" s="116">
        <f t="shared" ca="1" si="11"/>
        <v>4</v>
      </c>
    </row>
    <row r="22" spans="1:3" ht="12.75">
      <c r="A22" s="114" t="s">
        <v>39</v>
      </c>
      <c r="B22" s="115">
        <f t="shared" ref="B22:C22" ca="1" si="12">SUM(AE:AE)</f>
        <v>0</v>
      </c>
      <c r="C22" s="116">
        <f t="shared" ca="1" si="12"/>
        <v>0</v>
      </c>
    </row>
    <row r="23" spans="1:3" ht="12.75">
      <c r="A23" s="114" t="s">
        <v>40</v>
      </c>
      <c r="B23" s="115">
        <f t="shared" ref="B23:C23" ca="1" si="13">SUM(AG:AG)</f>
        <v>0</v>
      </c>
      <c r="C23" s="116">
        <f t="shared" ca="1" si="13"/>
        <v>0</v>
      </c>
    </row>
    <row r="24" spans="1:3" ht="12.75">
      <c r="A24" s="117" t="s">
        <v>32</v>
      </c>
      <c r="B24" s="118">
        <f t="shared" ref="B24:C24" ca="1" si="14">SUM(B17:B23)</f>
        <v>1</v>
      </c>
      <c r="C24" s="119">
        <f t="shared" ca="1" si="14"/>
        <v>4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0</v>
      </c>
      <c r="C27" s="116">
        <f t="shared" ca="1" si="16"/>
        <v>0</v>
      </c>
    </row>
    <row r="28" spans="1:3" ht="12.75">
      <c r="A28" s="114" t="s">
        <v>44</v>
      </c>
      <c r="B28" s="115">
        <f t="shared" ref="B28:C28" ca="1" si="17">SUM(AM:AM)</f>
        <v>0</v>
      </c>
      <c r="C28" s="116">
        <f t="shared" ca="1" si="17"/>
        <v>0</v>
      </c>
    </row>
    <row r="29" spans="1:3" ht="12.75">
      <c r="A29" s="117" t="s">
        <v>32</v>
      </c>
      <c r="B29" s="118">
        <f t="shared" ref="B29:C29" ca="1" si="18">SUM(B26:B28)</f>
        <v>0</v>
      </c>
      <c r="C29" s="119">
        <f t="shared" ca="1" si="18"/>
        <v>0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0</v>
      </c>
      <c r="C32" s="116">
        <f t="shared" ca="1" si="20"/>
        <v>0</v>
      </c>
    </row>
    <row r="33" spans="1:67" ht="12.75">
      <c r="A33" s="114" t="s">
        <v>48</v>
      </c>
      <c r="B33" s="115">
        <f t="shared" ref="B33:C33" ca="1" si="21">SUM(AS:AS)</f>
        <v>0</v>
      </c>
      <c r="C33" s="116">
        <f t="shared" ca="1" si="21"/>
        <v>0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0</v>
      </c>
      <c r="C35" s="116">
        <f t="shared" ca="1" si="23"/>
        <v>0</v>
      </c>
    </row>
    <row r="36" spans="1:67" ht="12.75">
      <c r="A36" s="117" t="s">
        <v>32</v>
      </c>
      <c r="B36" s="118">
        <f t="shared" ref="B36:C36" ca="1" si="24">SUM(B31:B35)</f>
        <v>0</v>
      </c>
      <c r="C36" s="119">
        <f t="shared" ca="1" si="24"/>
        <v>0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15</v>
      </c>
      <c r="C38" s="124">
        <f t="shared" ca="1" si="26"/>
        <v>15</v>
      </c>
    </row>
    <row r="39" spans="1:67" ht="15">
      <c r="A39" s="126" t="s">
        <v>20</v>
      </c>
      <c r="B39" s="127">
        <f t="shared" ref="B39:C39" ca="1" si="27">SUM(B15,B24,B29,B36,B37,B38)</f>
        <v>17</v>
      </c>
      <c r="C39" s="128">
        <f t="shared" ca="1" si="27"/>
        <v>21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 t="s">
        <v>77</v>
      </c>
      <c r="C2" s="102" t="s">
        <v>72</v>
      </c>
      <c r="D2" s="103" t="str">
        <f ca="1">IFERROR(__xludf.DUMMYFUNCTION("QUERY('Form Responses 1'!A:BE,""select * where A&gt;= datetime '""&amp;TEXT(B3,""yyyy-mm-dd HH:mm:ss"")&amp;""' and A&lt;= datetime '""&amp;TEXT(B3+1,""yyyy-mm-dd HH:mm:ss"")&amp;""' and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7</v>
      </c>
      <c r="B3" s="141" t="e">
        <f>#REF!</f>
        <v>#REF!</v>
      </c>
      <c r="C3" s="131" t="e">
        <f>B3-1</f>
        <v>#REF!</v>
      </c>
      <c r="D3" s="130">
        <f ca="1">IFERROR(__xludf.DUMMYFUNCTION("""COMPUTED_VALUE"""),44470.3218413078)</f>
        <v>44470.321841307799</v>
      </c>
      <c r="E3" s="108" t="str">
        <f ca="1">IFERROR(__xludf.DUMMYFUNCTION("""COMPUTED_VALUE"""),"imm@rtp.com")</f>
        <v>imm@rtp.com</v>
      </c>
      <c r="F3" s="108" t="str">
        <f ca="1">IFERROR(__xludf.DUMMYFUNCTION("""COMPUTED_VALUE"""),"rtp2021")</f>
        <v>rtp2021</v>
      </c>
      <c r="G3" s="108"/>
      <c r="H3" s="108" t="str">
        <f ca="1">IFERROR(__xludf.DUMMYFUNCTION("""COMPUTED_VALUE"""),"สตม.")</f>
        <v>สตม.</v>
      </c>
      <c r="I3" s="108">
        <f ca="1">IFERROR(__xludf.DUMMYFUNCTION("""COMPUTED_VALUE"""),0)</f>
        <v>0</v>
      </c>
      <c r="J3" s="108">
        <f ca="1">IFERROR(__xludf.DUMMYFUNCTION("""COMPUTED_VALUE"""),0)</f>
        <v>0</v>
      </c>
      <c r="K3" s="108">
        <f ca="1">IFERROR(__xludf.DUMMYFUNCTION("""COMPUTED_VALUE"""),0)</f>
        <v>0</v>
      </c>
      <c r="L3" s="108">
        <f ca="1">IFERROR(__xludf.DUMMYFUNCTION("""COMPUTED_VALUE"""),0)</f>
        <v>0</v>
      </c>
      <c r="M3" s="108">
        <f ca="1">IFERROR(__xludf.DUMMYFUNCTION("""COMPUTED_VALUE"""),0)</f>
        <v>0</v>
      </c>
      <c r="N3" s="108">
        <f ca="1">IFERROR(__xludf.DUMMYFUNCTION("""COMPUTED_VALUE"""),0)</f>
        <v>0</v>
      </c>
      <c r="O3" s="108">
        <f ca="1">IFERROR(__xludf.DUMMYFUNCTION("""COMPUTED_VALUE"""),0)</f>
        <v>0</v>
      </c>
      <c r="P3" s="108">
        <f ca="1">IFERROR(__xludf.DUMMYFUNCTION("""COMPUTED_VALUE"""),0)</f>
        <v>0</v>
      </c>
      <c r="Q3" s="108">
        <f ca="1">IFERROR(__xludf.DUMMYFUNCTION("""COMPUTED_VALUE"""),0)</f>
        <v>0</v>
      </c>
      <c r="R3" s="108">
        <f ca="1">IFERROR(__xludf.DUMMYFUNCTION("""COMPUTED_VALUE"""),0)</f>
        <v>0</v>
      </c>
      <c r="S3" s="108">
        <f ca="1">IFERROR(__xludf.DUMMYFUNCTION("""COMPUTED_VALUE"""),0)</f>
        <v>0</v>
      </c>
      <c r="T3" s="108">
        <f ca="1">IFERROR(__xludf.DUMMYFUNCTION("""COMPUTED_VALUE"""),0)</f>
        <v>0</v>
      </c>
      <c r="U3" s="108">
        <f ca="1">IFERROR(__xludf.DUMMYFUNCTION("""COMPUTED_VALUE"""),1)</f>
        <v>1</v>
      </c>
      <c r="V3" s="108">
        <f ca="1">IFERROR(__xludf.DUMMYFUNCTION("""COMPUTED_VALUE"""),1)</f>
        <v>1</v>
      </c>
      <c r="W3" s="108">
        <f ca="1">IFERROR(__xludf.DUMMYFUNCTION("""COMPUTED_VALUE"""),0)</f>
        <v>0</v>
      </c>
      <c r="X3" s="108">
        <f ca="1">IFERROR(__xludf.DUMMYFUNCTION("""COMPUTED_VALUE"""),0)</f>
        <v>0</v>
      </c>
      <c r="Y3" s="108">
        <f ca="1">IFERROR(__xludf.DUMMYFUNCTION("""COMPUTED_VALUE"""),0)</f>
        <v>0</v>
      </c>
      <c r="Z3" s="108">
        <f ca="1">IFERROR(__xludf.DUMMYFUNCTION("""COMPUTED_VALUE"""),0)</f>
        <v>0</v>
      </c>
      <c r="AA3" s="108">
        <f ca="1">IFERROR(__xludf.DUMMYFUNCTION("""COMPUTED_VALUE"""),0)</f>
        <v>0</v>
      </c>
      <c r="AB3" s="108">
        <f ca="1">IFERROR(__xludf.DUMMYFUNCTION("""COMPUTED_VALUE"""),0)</f>
        <v>0</v>
      </c>
      <c r="AC3" s="108">
        <f ca="1">IFERROR(__xludf.DUMMYFUNCTION("""COMPUTED_VALUE"""),6)</f>
        <v>6</v>
      </c>
      <c r="AD3" s="108">
        <f ca="1">IFERROR(__xludf.DUMMYFUNCTION("""COMPUTED_VALUE"""),6)</f>
        <v>6</v>
      </c>
      <c r="AE3" s="108">
        <f ca="1">IFERROR(__xludf.DUMMYFUNCTION("""COMPUTED_VALUE"""),1)</f>
        <v>1</v>
      </c>
      <c r="AF3" s="108">
        <f ca="1">IFERROR(__xludf.DUMMYFUNCTION("""COMPUTED_VALUE"""),1)</f>
        <v>1</v>
      </c>
      <c r="AG3" s="108">
        <f ca="1">IFERROR(__xludf.DUMMYFUNCTION("""COMPUTED_VALUE"""),17)</f>
        <v>17</v>
      </c>
      <c r="AH3" s="108">
        <f ca="1">IFERROR(__xludf.DUMMYFUNCTION("""COMPUTED_VALUE"""),19)</f>
        <v>19</v>
      </c>
      <c r="AI3" s="108">
        <f ca="1">IFERROR(__xludf.DUMMYFUNCTION("""COMPUTED_VALUE"""),0)</f>
        <v>0</v>
      </c>
      <c r="AJ3" s="108">
        <f ca="1">IFERROR(__xludf.DUMMYFUNCTION("""COMPUTED_VALUE"""),0)</f>
        <v>0</v>
      </c>
      <c r="AK3" s="108">
        <f ca="1">IFERROR(__xludf.DUMMYFUNCTION("""COMPUTED_VALUE"""),1)</f>
        <v>1</v>
      </c>
      <c r="AL3" s="108">
        <f ca="1">IFERROR(__xludf.DUMMYFUNCTION("""COMPUTED_VALUE"""),2)</f>
        <v>2</v>
      </c>
      <c r="AM3" s="108">
        <f ca="1">IFERROR(__xludf.DUMMYFUNCTION("""COMPUTED_VALUE"""),108)</f>
        <v>108</v>
      </c>
      <c r="AN3" s="108">
        <f ca="1">IFERROR(__xludf.DUMMYFUNCTION("""COMPUTED_VALUE"""),154)</f>
        <v>154</v>
      </c>
      <c r="AO3" s="108">
        <f ca="1">IFERROR(__xludf.DUMMYFUNCTION("""COMPUTED_VALUE"""),0)</f>
        <v>0</v>
      </c>
      <c r="AP3" s="108">
        <f ca="1">IFERROR(__xludf.DUMMYFUNCTION("""COMPUTED_VALUE"""),0)</f>
        <v>0</v>
      </c>
      <c r="AQ3" s="108">
        <f ca="1">IFERROR(__xludf.DUMMYFUNCTION("""COMPUTED_VALUE"""),0)</f>
        <v>0</v>
      </c>
      <c r="AR3" s="108">
        <f ca="1">IFERROR(__xludf.DUMMYFUNCTION("""COMPUTED_VALUE"""),0)</f>
        <v>0</v>
      </c>
      <c r="AS3" s="108">
        <f ca="1">IFERROR(__xludf.DUMMYFUNCTION("""COMPUTED_VALUE"""),0)</f>
        <v>0</v>
      </c>
      <c r="AT3" s="108">
        <f ca="1">IFERROR(__xludf.DUMMYFUNCTION("""COMPUTED_VALUE"""),0)</f>
        <v>0</v>
      </c>
      <c r="AU3" s="108">
        <f ca="1">IFERROR(__xludf.DUMMYFUNCTION("""COMPUTED_VALUE"""),0)</f>
        <v>0</v>
      </c>
      <c r="AV3" s="108">
        <f ca="1">IFERROR(__xludf.DUMMYFUNCTION("""COMPUTED_VALUE"""),0)</f>
        <v>0</v>
      </c>
      <c r="AW3" s="108">
        <f ca="1">IFERROR(__xludf.DUMMYFUNCTION("""COMPUTED_VALUE"""),0)</f>
        <v>0</v>
      </c>
      <c r="AX3" s="108">
        <f ca="1">IFERROR(__xludf.DUMMYFUNCTION("""COMPUTED_VALUE"""),0)</f>
        <v>0</v>
      </c>
      <c r="AY3" s="108">
        <f ca="1">IFERROR(__xludf.DUMMYFUNCTION("""COMPUTED_VALUE"""),0)</f>
        <v>0</v>
      </c>
      <c r="AZ3" s="108">
        <f ca="1">IFERROR(__xludf.DUMMYFUNCTION("""COMPUTED_VALUE"""),0)</f>
        <v>0</v>
      </c>
      <c r="BA3" s="108">
        <f ca="1">IFERROR(__xludf.DUMMYFUNCTION("""COMPUTED_VALUE"""),43)</f>
        <v>43</v>
      </c>
      <c r="BB3" s="108">
        <f ca="1">IFERROR(__xludf.DUMMYFUNCTION("""COMPUTED_VALUE"""),41)</f>
        <v>41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</row>
    <row r="5" spans="1:67" ht="12.75">
      <c r="A5" s="638"/>
      <c r="B5" s="109" t="s">
        <v>21</v>
      </c>
      <c r="C5" s="110" t="s">
        <v>22</v>
      </c>
    </row>
    <row r="6" spans="1:67" ht="12.75">
      <c r="A6" s="111" t="s">
        <v>23</v>
      </c>
      <c r="B6" s="112"/>
      <c r="C6" s="11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</row>
    <row r="8" spans="1:67" ht="12.75">
      <c r="A8" s="114" t="s">
        <v>25</v>
      </c>
      <c r="B8" s="115"/>
      <c r="C8" s="116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</row>
    <row r="10" spans="1:67" ht="12.75">
      <c r="A10" s="114" t="s">
        <v>27</v>
      </c>
      <c r="B10" s="115">
        <f t="shared" ref="B10:C10" ca="1" si="2">SUM(M:M)</f>
        <v>0</v>
      </c>
      <c r="C10" s="116">
        <f t="shared" ca="1" si="2"/>
        <v>0</v>
      </c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0</v>
      </c>
      <c r="C12" s="116">
        <f t="shared" ca="1" si="3"/>
        <v>0</v>
      </c>
    </row>
    <row r="13" spans="1:67" ht="12.75">
      <c r="A13" s="114" t="s">
        <v>30</v>
      </c>
      <c r="B13" s="115">
        <f t="shared" ref="B13:C13" ca="1" si="4">SUM(Q:Q)</f>
        <v>0</v>
      </c>
      <c r="C13" s="116">
        <f t="shared" ca="1" si="4"/>
        <v>0</v>
      </c>
    </row>
    <row r="14" spans="1:67" ht="12.75">
      <c r="A14" s="114" t="s">
        <v>31</v>
      </c>
      <c r="B14" s="115">
        <f t="shared" ref="B14:C14" ca="1" si="5">SUM(S:S)</f>
        <v>0</v>
      </c>
      <c r="C14" s="116">
        <f t="shared" ca="1" si="5"/>
        <v>0</v>
      </c>
    </row>
    <row r="15" spans="1:67" ht="12.75">
      <c r="A15" s="117" t="s">
        <v>32</v>
      </c>
      <c r="B15" s="118">
        <f t="shared" ref="B15:C15" ca="1" si="6">SUM(B6:B14)</f>
        <v>0</v>
      </c>
      <c r="C15" s="119">
        <f t="shared" ca="1" si="6"/>
        <v>0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1</v>
      </c>
      <c r="C17" s="116">
        <f t="shared" ca="1" si="7"/>
        <v>1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0</v>
      </c>
      <c r="C20" s="116">
        <f t="shared" ca="1" si="10"/>
        <v>0</v>
      </c>
    </row>
    <row r="21" spans="1:3" ht="12.75">
      <c r="A21" s="114" t="s">
        <v>38</v>
      </c>
      <c r="B21" s="115">
        <f t="shared" ref="B21:C21" ca="1" si="11">SUM(AC:AC)</f>
        <v>6</v>
      </c>
      <c r="C21" s="116">
        <f t="shared" ca="1" si="11"/>
        <v>6</v>
      </c>
    </row>
    <row r="22" spans="1:3" ht="12.75">
      <c r="A22" s="114" t="s">
        <v>39</v>
      </c>
      <c r="B22" s="115">
        <f t="shared" ref="B22:C22" ca="1" si="12">SUM(AE:AE)</f>
        <v>1</v>
      </c>
      <c r="C22" s="116">
        <f t="shared" ca="1" si="12"/>
        <v>1</v>
      </c>
    </row>
    <row r="23" spans="1:3" ht="12.75">
      <c r="A23" s="114" t="s">
        <v>40</v>
      </c>
      <c r="B23" s="115">
        <f t="shared" ref="B23:C23" ca="1" si="13">SUM(AG:AG)</f>
        <v>17</v>
      </c>
      <c r="C23" s="116">
        <f t="shared" ca="1" si="13"/>
        <v>19</v>
      </c>
    </row>
    <row r="24" spans="1:3" ht="12.75">
      <c r="A24" s="117" t="s">
        <v>32</v>
      </c>
      <c r="B24" s="118">
        <f t="shared" ref="B24:C24" ca="1" si="14">SUM(B17:B23)</f>
        <v>25</v>
      </c>
      <c r="C24" s="119">
        <f t="shared" ca="1" si="14"/>
        <v>27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1</v>
      </c>
      <c r="C27" s="116">
        <f t="shared" ca="1" si="16"/>
        <v>2</v>
      </c>
    </row>
    <row r="28" spans="1:3" ht="12.75">
      <c r="A28" s="114" t="s">
        <v>44</v>
      </c>
      <c r="B28" s="115">
        <f t="shared" ref="B28:C28" ca="1" si="17">SUM(AM:AM)</f>
        <v>108</v>
      </c>
      <c r="C28" s="116">
        <f t="shared" ca="1" si="17"/>
        <v>154</v>
      </c>
    </row>
    <row r="29" spans="1:3" ht="12.75">
      <c r="A29" s="117" t="s">
        <v>32</v>
      </c>
      <c r="B29" s="118">
        <f t="shared" ref="B29:C29" ca="1" si="18">SUM(B26:B28)</f>
        <v>109</v>
      </c>
      <c r="C29" s="119">
        <f t="shared" ca="1" si="18"/>
        <v>156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0</v>
      </c>
      <c r="C32" s="116">
        <f t="shared" ca="1" si="20"/>
        <v>0</v>
      </c>
    </row>
    <row r="33" spans="1:67" ht="12.75">
      <c r="A33" s="114" t="s">
        <v>48</v>
      </c>
      <c r="B33" s="115">
        <f t="shared" ref="B33:C33" ca="1" si="21">SUM(AS:AS)</f>
        <v>0</v>
      </c>
      <c r="C33" s="116">
        <f t="shared" ca="1" si="21"/>
        <v>0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0</v>
      </c>
      <c r="C35" s="116">
        <f t="shared" ca="1" si="23"/>
        <v>0</v>
      </c>
    </row>
    <row r="36" spans="1:67" ht="12.75">
      <c r="A36" s="117" t="s">
        <v>32</v>
      </c>
      <c r="B36" s="118">
        <f t="shared" ref="B36:C36" ca="1" si="24">SUM(B31:B35)</f>
        <v>0</v>
      </c>
      <c r="C36" s="119">
        <f t="shared" ca="1" si="24"/>
        <v>0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43</v>
      </c>
      <c r="C38" s="124">
        <f t="shared" ca="1" si="26"/>
        <v>41</v>
      </c>
    </row>
    <row r="39" spans="1:67" ht="15">
      <c r="A39" s="126" t="s">
        <v>20</v>
      </c>
      <c r="B39" s="127">
        <f t="shared" ref="B39:C39" ca="1" si="27">SUM(B15,B24,B29,B36,B37,B38)</f>
        <v>177</v>
      </c>
      <c r="C39" s="128">
        <f t="shared" ca="1" si="27"/>
        <v>224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 t="s">
        <v>77</v>
      </c>
      <c r="C2" s="102" t="s">
        <v>72</v>
      </c>
      <c r="D2" s="103" t="str">
        <f ca="1">IFERROR(__xludf.DUMMYFUNCTION("QUERY('Form Responses 1'!A:BE,""select * where A&gt;= datetime '""&amp;TEXT(B3,""yyyy-mm-dd HH:mm:ss"")&amp;""' and A&lt;= datetime '""&amp;TEXT(B3+1,""yyyy-mm-dd HH:mm:ss"")&amp;""' and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10</v>
      </c>
      <c r="B3" s="141" t="e">
        <f>#REF!</f>
        <v>#REF!</v>
      </c>
      <c r="C3" s="131" t="e">
        <f>B3-1</f>
        <v>#REF!</v>
      </c>
      <c r="D3" s="130">
        <f ca="1">IFERROR(__xludf.DUMMYFUNCTION("""COMPUTED_VALUE"""),44470.2925134606)</f>
        <v>44470.292513460598</v>
      </c>
      <c r="E3" s="108" t="str">
        <f ca="1">IFERROR(__xludf.DUMMYFUNCTION("""COMPUTED_VALUE"""),"tour@rtp.com")</f>
        <v>tour@rtp.com</v>
      </c>
      <c r="F3" s="108" t="str">
        <f ca="1">IFERROR(__xludf.DUMMYFUNCTION("""COMPUTED_VALUE"""),"rtp2021")</f>
        <v>rtp2021</v>
      </c>
      <c r="G3" s="108"/>
      <c r="H3" s="108" t="str">
        <f ca="1">IFERROR(__xludf.DUMMYFUNCTION("""COMPUTED_VALUE"""),"บช.ทท.")</f>
        <v>บช.ทท.</v>
      </c>
      <c r="I3" s="108">
        <f ca="1">IFERROR(__xludf.DUMMYFUNCTION("""COMPUTED_VALUE"""),0)</f>
        <v>0</v>
      </c>
      <c r="J3" s="108">
        <f ca="1">IFERROR(__xludf.DUMMYFUNCTION("""COMPUTED_VALUE"""),0)</f>
        <v>0</v>
      </c>
      <c r="K3" s="108">
        <f ca="1">IFERROR(__xludf.DUMMYFUNCTION("""COMPUTED_VALUE"""),0)</f>
        <v>0</v>
      </c>
      <c r="L3" s="108">
        <f ca="1">IFERROR(__xludf.DUMMYFUNCTION("""COMPUTED_VALUE"""),0)</f>
        <v>0</v>
      </c>
      <c r="M3" s="108">
        <f ca="1">IFERROR(__xludf.DUMMYFUNCTION("""COMPUTED_VALUE"""),0)</f>
        <v>0</v>
      </c>
      <c r="N3" s="108">
        <f ca="1">IFERROR(__xludf.DUMMYFUNCTION("""COMPUTED_VALUE"""),0)</f>
        <v>0</v>
      </c>
      <c r="O3" s="108">
        <f ca="1">IFERROR(__xludf.DUMMYFUNCTION("""COMPUTED_VALUE"""),0)</f>
        <v>0</v>
      </c>
      <c r="P3" s="108">
        <f ca="1">IFERROR(__xludf.DUMMYFUNCTION("""COMPUTED_VALUE"""),0)</f>
        <v>0</v>
      </c>
      <c r="Q3" s="108">
        <f ca="1">IFERROR(__xludf.DUMMYFUNCTION("""COMPUTED_VALUE"""),0)</f>
        <v>0</v>
      </c>
      <c r="R3" s="108">
        <f ca="1">IFERROR(__xludf.DUMMYFUNCTION("""COMPUTED_VALUE"""),0)</f>
        <v>0</v>
      </c>
      <c r="S3" s="108">
        <f ca="1">IFERROR(__xludf.DUMMYFUNCTION("""COMPUTED_VALUE"""),0)</f>
        <v>0</v>
      </c>
      <c r="T3" s="108">
        <f ca="1">IFERROR(__xludf.DUMMYFUNCTION("""COMPUTED_VALUE"""),0)</f>
        <v>0</v>
      </c>
      <c r="U3" s="108">
        <f ca="1">IFERROR(__xludf.DUMMYFUNCTION("""COMPUTED_VALUE"""),1)</f>
        <v>1</v>
      </c>
      <c r="V3" s="108">
        <f ca="1">IFERROR(__xludf.DUMMYFUNCTION("""COMPUTED_VALUE"""),1)</f>
        <v>1</v>
      </c>
      <c r="W3" s="108">
        <f ca="1">IFERROR(__xludf.DUMMYFUNCTION("""COMPUTED_VALUE"""),0)</f>
        <v>0</v>
      </c>
      <c r="X3" s="108">
        <f ca="1">IFERROR(__xludf.DUMMYFUNCTION("""COMPUTED_VALUE"""),0)</f>
        <v>0</v>
      </c>
      <c r="Y3" s="108">
        <f ca="1">IFERROR(__xludf.DUMMYFUNCTION("""COMPUTED_VALUE"""),0)</f>
        <v>0</v>
      </c>
      <c r="Z3" s="108">
        <f ca="1">IFERROR(__xludf.DUMMYFUNCTION("""COMPUTED_VALUE"""),0)</f>
        <v>0</v>
      </c>
      <c r="AA3" s="108">
        <f ca="1">IFERROR(__xludf.DUMMYFUNCTION("""COMPUTED_VALUE"""),0)</f>
        <v>0</v>
      </c>
      <c r="AB3" s="108">
        <f ca="1">IFERROR(__xludf.DUMMYFUNCTION("""COMPUTED_VALUE"""),0)</f>
        <v>0</v>
      </c>
      <c r="AC3" s="108">
        <f ca="1">IFERROR(__xludf.DUMMYFUNCTION("""COMPUTED_VALUE"""),0)</f>
        <v>0</v>
      </c>
      <c r="AD3" s="108">
        <f ca="1">IFERROR(__xludf.DUMMYFUNCTION("""COMPUTED_VALUE"""),0)</f>
        <v>0</v>
      </c>
      <c r="AE3" s="108">
        <f ca="1">IFERROR(__xludf.DUMMYFUNCTION("""COMPUTED_VALUE"""),0)</f>
        <v>0</v>
      </c>
      <c r="AF3" s="108">
        <f ca="1">IFERROR(__xludf.DUMMYFUNCTION("""COMPUTED_VALUE"""),0)</f>
        <v>0</v>
      </c>
      <c r="AG3" s="108">
        <f ca="1">IFERROR(__xludf.DUMMYFUNCTION("""COMPUTED_VALUE"""),3)</f>
        <v>3</v>
      </c>
      <c r="AH3" s="108">
        <f ca="1">IFERROR(__xludf.DUMMYFUNCTION("""COMPUTED_VALUE"""),3)</f>
        <v>3</v>
      </c>
      <c r="AI3" s="108">
        <f ca="1">IFERROR(__xludf.DUMMYFUNCTION("""COMPUTED_VALUE"""),0)</f>
        <v>0</v>
      </c>
      <c r="AJ3" s="108">
        <f ca="1">IFERROR(__xludf.DUMMYFUNCTION("""COMPUTED_VALUE"""),0)</f>
        <v>0</v>
      </c>
      <c r="AK3" s="108">
        <f ca="1">IFERROR(__xludf.DUMMYFUNCTION("""COMPUTED_VALUE"""),1)</f>
        <v>1</v>
      </c>
      <c r="AL3" s="108">
        <f ca="1">IFERROR(__xludf.DUMMYFUNCTION("""COMPUTED_VALUE"""),1)</f>
        <v>1</v>
      </c>
      <c r="AM3" s="108">
        <f ca="1">IFERROR(__xludf.DUMMYFUNCTION("""COMPUTED_VALUE"""),3)</f>
        <v>3</v>
      </c>
      <c r="AN3" s="108">
        <f ca="1">IFERROR(__xludf.DUMMYFUNCTION("""COMPUTED_VALUE"""),16)</f>
        <v>16</v>
      </c>
      <c r="AO3" s="108">
        <f ca="1">IFERROR(__xludf.DUMMYFUNCTION("""COMPUTED_VALUE"""),0)</f>
        <v>0</v>
      </c>
      <c r="AP3" s="108">
        <f ca="1">IFERROR(__xludf.DUMMYFUNCTION("""COMPUTED_VALUE"""),0)</f>
        <v>0</v>
      </c>
      <c r="AQ3" s="108">
        <f ca="1">IFERROR(__xludf.DUMMYFUNCTION("""COMPUTED_VALUE"""),0)</f>
        <v>0</v>
      </c>
      <c r="AR3" s="108">
        <f ca="1">IFERROR(__xludf.DUMMYFUNCTION("""COMPUTED_VALUE"""),0)</f>
        <v>0</v>
      </c>
      <c r="AS3" s="108">
        <f ca="1">IFERROR(__xludf.DUMMYFUNCTION("""COMPUTED_VALUE"""),0)</f>
        <v>0</v>
      </c>
      <c r="AT3" s="108">
        <f ca="1">IFERROR(__xludf.DUMMYFUNCTION("""COMPUTED_VALUE"""),0)</f>
        <v>0</v>
      </c>
      <c r="AU3" s="108">
        <f ca="1">IFERROR(__xludf.DUMMYFUNCTION("""COMPUTED_VALUE"""),0)</f>
        <v>0</v>
      </c>
      <c r="AV3" s="108">
        <f ca="1">IFERROR(__xludf.DUMMYFUNCTION("""COMPUTED_VALUE"""),0)</f>
        <v>0</v>
      </c>
      <c r="AW3" s="108">
        <f ca="1">IFERROR(__xludf.DUMMYFUNCTION("""COMPUTED_VALUE"""),0)</f>
        <v>0</v>
      </c>
      <c r="AX3" s="108">
        <f ca="1">IFERROR(__xludf.DUMMYFUNCTION("""COMPUTED_VALUE"""),0)</f>
        <v>0</v>
      </c>
      <c r="AY3" s="108">
        <f ca="1">IFERROR(__xludf.DUMMYFUNCTION("""COMPUTED_VALUE"""),0)</f>
        <v>0</v>
      </c>
      <c r="AZ3" s="108">
        <f ca="1">IFERROR(__xludf.DUMMYFUNCTION("""COMPUTED_VALUE"""),0)</f>
        <v>0</v>
      </c>
      <c r="BA3" s="108">
        <f ca="1">IFERROR(__xludf.DUMMYFUNCTION("""COMPUTED_VALUE"""),24)</f>
        <v>24</v>
      </c>
      <c r="BB3" s="108">
        <f ca="1">IFERROR(__xludf.DUMMYFUNCTION("""COMPUTED_VALUE"""),24)</f>
        <v>24</v>
      </c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</row>
    <row r="5" spans="1:67" ht="12.75">
      <c r="A5" s="638"/>
      <c r="B5" s="109" t="s">
        <v>21</v>
      </c>
      <c r="C5" s="110" t="s">
        <v>22</v>
      </c>
    </row>
    <row r="6" spans="1:67" ht="12.75">
      <c r="A6" s="111" t="s">
        <v>23</v>
      </c>
      <c r="B6" s="112"/>
      <c r="C6" s="11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</row>
    <row r="8" spans="1:67" ht="12.75">
      <c r="A8" s="114" t="s">
        <v>25</v>
      </c>
      <c r="B8" s="115"/>
      <c r="C8" s="116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</row>
    <row r="10" spans="1:67" ht="12.75">
      <c r="A10" s="114" t="s">
        <v>27</v>
      </c>
      <c r="B10" s="115">
        <f t="shared" ref="B10:C10" ca="1" si="2">SUM(M:M)</f>
        <v>0</v>
      </c>
      <c r="C10" s="116">
        <f t="shared" ca="1" si="2"/>
        <v>0</v>
      </c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0</v>
      </c>
      <c r="C12" s="116">
        <f t="shared" ca="1" si="3"/>
        <v>0</v>
      </c>
    </row>
    <row r="13" spans="1:67" ht="12.75">
      <c r="A13" s="114" t="s">
        <v>30</v>
      </c>
      <c r="B13" s="115">
        <f t="shared" ref="B13:C13" ca="1" si="4">SUM(Q:Q)</f>
        <v>0</v>
      </c>
      <c r="C13" s="116">
        <f t="shared" ca="1" si="4"/>
        <v>0</v>
      </c>
    </row>
    <row r="14" spans="1:67" ht="12.75">
      <c r="A14" s="114" t="s">
        <v>31</v>
      </c>
      <c r="B14" s="115">
        <f t="shared" ref="B14:C14" ca="1" si="5">SUM(S:S)</f>
        <v>0</v>
      </c>
      <c r="C14" s="116">
        <f t="shared" ca="1" si="5"/>
        <v>0</v>
      </c>
    </row>
    <row r="15" spans="1:67" ht="12.75">
      <c r="A15" s="117" t="s">
        <v>32</v>
      </c>
      <c r="B15" s="118">
        <f t="shared" ref="B15:C15" ca="1" si="6">SUM(B6:B14)</f>
        <v>0</v>
      </c>
      <c r="C15" s="119">
        <f t="shared" ca="1" si="6"/>
        <v>0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1</v>
      </c>
      <c r="C17" s="116">
        <f t="shared" ca="1" si="7"/>
        <v>1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0</v>
      </c>
      <c r="C20" s="116">
        <f t="shared" ca="1" si="10"/>
        <v>0</v>
      </c>
    </row>
    <row r="21" spans="1:3" ht="12.75">
      <c r="A21" s="114" t="s">
        <v>38</v>
      </c>
      <c r="B21" s="115">
        <f t="shared" ref="B21:C21" ca="1" si="11">SUM(AC:AC)</f>
        <v>0</v>
      </c>
      <c r="C21" s="116">
        <f t="shared" ca="1" si="11"/>
        <v>0</v>
      </c>
    </row>
    <row r="22" spans="1:3" ht="12.75">
      <c r="A22" s="114" t="s">
        <v>39</v>
      </c>
      <c r="B22" s="115">
        <f t="shared" ref="B22:C22" ca="1" si="12">SUM(AE:AE)</f>
        <v>0</v>
      </c>
      <c r="C22" s="116">
        <f t="shared" ca="1" si="12"/>
        <v>0</v>
      </c>
    </row>
    <row r="23" spans="1:3" ht="12.75">
      <c r="A23" s="114" t="s">
        <v>40</v>
      </c>
      <c r="B23" s="115">
        <f t="shared" ref="B23:C23" ca="1" si="13">SUM(AG:AG)</f>
        <v>3</v>
      </c>
      <c r="C23" s="116">
        <f t="shared" ca="1" si="13"/>
        <v>3</v>
      </c>
    </row>
    <row r="24" spans="1:3" ht="12.75">
      <c r="A24" s="117" t="s">
        <v>32</v>
      </c>
      <c r="B24" s="118">
        <f t="shared" ref="B24:C24" ca="1" si="14">SUM(B17:B23)</f>
        <v>4</v>
      </c>
      <c r="C24" s="119">
        <f t="shared" ca="1" si="14"/>
        <v>4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1</v>
      </c>
      <c r="C27" s="116">
        <f t="shared" ca="1" si="16"/>
        <v>1</v>
      </c>
    </row>
    <row r="28" spans="1:3" ht="12.75">
      <c r="A28" s="114" t="s">
        <v>44</v>
      </c>
      <c r="B28" s="115">
        <f t="shared" ref="B28:C28" ca="1" si="17">SUM(AM:AM)</f>
        <v>3</v>
      </c>
      <c r="C28" s="116">
        <f t="shared" ca="1" si="17"/>
        <v>16</v>
      </c>
    </row>
    <row r="29" spans="1:3" ht="12.75">
      <c r="A29" s="117" t="s">
        <v>32</v>
      </c>
      <c r="B29" s="118">
        <f t="shared" ref="B29:C29" ca="1" si="18">SUM(B26:B28)</f>
        <v>4</v>
      </c>
      <c r="C29" s="119">
        <f t="shared" ca="1" si="18"/>
        <v>17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0</v>
      </c>
      <c r="C32" s="116">
        <f t="shared" ca="1" si="20"/>
        <v>0</v>
      </c>
    </row>
    <row r="33" spans="1:67" ht="12.75">
      <c r="A33" s="114" t="s">
        <v>48</v>
      </c>
      <c r="B33" s="115">
        <f t="shared" ref="B33:C33" ca="1" si="21">SUM(AS:AS)</f>
        <v>0</v>
      </c>
      <c r="C33" s="116">
        <f t="shared" ca="1" si="21"/>
        <v>0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0</v>
      </c>
      <c r="C35" s="116">
        <f t="shared" ca="1" si="23"/>
        <v>0</v>
      </c>
    </row>
    <row r="36" spans="1:67" ht="12.75">
      <c r="A36" s="117" t="s">
        <v>32</v>
      </c>
      <c r="B36" s="118">
        <f t="shared" ref="B36:C36" ca="1" si="24">SUM(B31:B35)</f>
        <v>0</v>
      </c>
      <c r="C36" s="119">
        <f t="shared" ca="1" si="24"/>
        <v>0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24</v>
      </c>
      <c r="C38" s="124">
        <f t="shared" ca="1" si="26"/>
        <v>24</v>
      </c>
    </row>
    <row r="39" spans="1:67" ht="15">
      <c r="A39" s="126" t="s">
        <v>20</v>
      </c>
      <c r="B39" s="127">
        <f t="shared" ref="B39:C39" ca="1" si="27">SUM(B15,B24,B29,B36,B37,B38)</f>
        <v>32</v>
      </c>
      <c r="C39" s="128">
        <f t="shared" ca="1" si="27"/>
        <v>45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O39"/>
  <sheetViews>
    <sheetView showGridLines="0" workbookViewId="0"/>
  </sheetViews>
  <sheetFormatPr defaultColWidth="14.42578125" defaultRowHeight="15.75" customHeight="1"/>
  <cols>
    <col min="1" max="1" width="42.7109375" customWidth="1"/>
    <col min="2" max="3" width="19.5703125" customWidth="1"/>
    <col min="4" max="4" width="17.7109375" customWidth="1"/>
  </cols>
  <sheetData>
    <row r="1" spans="1:67" ht="15.75" customHeight="1">
      <c r="A1" s="729" t="s">
        <v>17</v>
      </c>
      <c r="B1" s="665"/>
      <c r="C1" s="667"/>
    </row>
    <row r="2" spans="1:67" ht="12.75">
      <c r="A2" s="100"/>
      <c r="B2" s="101" t="s">
        <v>77</v>
      </c>
      <c r="C2" s="102" t="s">
        <v>72</v>
      </c>
      <c r="D2" s="103" t="str">
        <f ca="1">IFERROR(__xludf.DUMMYFUNCTION("QUERY('Form Responses 1'!A:BE,""select * where A&gt;= datetime '""&amp;TEXT(B3,""yyyy-mm-dd HH:mm:ss"")&amp;""' and A&lt;= datetime '""&amp;TEXT(B3+1,""yyyy-mm-dd HH:mm:ss"")&amp;""' and E='""&amp;A3&amp;""'"")"),"Timestamp")</f>
        <v>Timestamp</v>
      </c>
      <c r="E2" s="103" t="str">
        <f ca="1">IFERROR(__xludf.DUMMYFUNCTION("""COMPUTED_VALUE"""),"Email")</f>
        <v>Email</v>
      </c>
      <c r="F2" s="103" t="str">
        <f ca="1">IFERROR(__xludf.DUMMYFUNCTION("""COMPUTED_VALUE"""),"Password")</f>
        <v>Password</v>
      </c>
      <c r="G2" s="103" t="str">
        <f ca="1">IFERROR(__xludf.DUMMYFUNCTION("""COMPUTED_VALUE"""),"Blank")</f>
        <v>Blank</v>
      </c>
      <c r="H2" s="103" t="str">
        <f ca="1">IFERROR(__xludf.DUMMYFUNCTION("""COMPUTED_VALUE"""),"หน่วยงาน")</f>
        <v>หน่วยงาน</v>
      </c>
      <c r="I2" s="103" t="str">
        <f ca="1">IFERROR(__xludf.DUMMYFUNCTION("""COMPUTED_VALUE"""),"จำนวน(ราย)")</f>
        <v>จำนวน(ราย)</v>
      </c>
      <c r="J2" s="103" t="str">
        <f ca="1">IFERROR(__xludf.DUMMYFUNCTION("""COMPUTED_VALUE"""),"จำนวน(คน)")</f>
        <v>จำนวน(คน)</v>
      </c>
      <c r="K2" s="103" t="str">
        <f ca="1">IFERROR(__xludf.DUMMYFUNCTION("""COMPUTED_VALUE"""),"จำนวน(ราย)")</f>
        <v>จำนวน(ราย)</v>
      </c>
      <c r="L2" s="103" t="str">
        <f ca="1">IFERROR(__xludf.DUMMYFUNCTION("""COMPUTED_VALUE"""),"จำนวน(คน)")</f>
        <v>จำนวน(คน)</v>
      </c>
      <c r="M2" s="103" t="str">
        <f ca="1">IFERROR(__xludf.DUMMYFUNCTION("""COMPUTED_VALUE"""),"จำนวน(ราย)")</f>
        <v>จำนวน(ราย)</v>
      </c>
      <c r="N2" s="103" t="str">
        <f ca="1">IFERROR(__xludf.DUMMYFUNCTION("""COMPUTED_VALUE"""),"จำนวน(คน)")</f>
        <v>จำนวน(คน)</v>
      </c>
      <c r="O2" s="103" t="str">
        <f ca="1">IFERROR(__xludf.DUMMYFUNCTION("""COMPUTED_VALUE"""),"จำนวน(ราย)")</f>
        <v>จำนวน(ราย)</v>
      </c>
      <c r="P2" s="103" t="str">
        <f ca="1">IFERROR(__xludf.DUMMYFUNCTION("""COMPUTED_VALUE"""),"จำนวน(คน)")</f>
        <v>จำนวน(คน)</v>
      </c>
      <c r="Q2" s="103" t="str">
        <f ca="1">IFERROR(__xludf.DUMMYFUNCTION("""COMPUTED_VALUE"""),"จำนวน(ราย)")</f>
        <v>จำนวน(ราย)</v>
      </c>
      <c r="R2" s="103" t="str">
        <f ca="1">IFERROR(__xludf.DUMMYFUNCTION("""COMPUTED_VALUE"""),"จำนวน(คน)")</f>
        <v>จำนวน(คน)</v>
      </c>
      <c r="S2" s="103" t="str">
        <f ca="1">IFERROR(__xludf.DUMMYFUNCTION("""COMPUTED_VALUE"""),"จำนวน(ราย)")</f>
        <v>จำนวน(ราย)</v>
      </c>
      <c r="T2" s="103" t="str">
        <f ca="1">IFERROR(__xludf.DUMMYFUNCTION("""COMPUTED_VALUE"""),"จำนวน(คน)")</f>
        <v>จำนวน(คน)</v>
      </c>
      <c r="U2" s="103" t="str">
        <f ca="1">IFERROR(__xludf.DUMMYFUNCTION("""COMPUTED_VALUE"""),"จำนวน(ราย)")</f>
        <v>จำนวน(ราย)</v>
      </c>
      <c r="V2" s="103" t="str">
        <f ca="1">IFERROR(__xludf.DUMMYFUNCTION("""COMPUTED_VALUE"""),"จำนวน(คน)")</f>
        <v>จำนวน(คน)</v>
      </c>
      <c r="W2" s="103" t="str">
        <f ca="1">IFERROR(__xludf.DUMMYFUNCTION("""COMPUTED_VALUE"""),"จำนวน(ราย)")</f>
        <v>จำนวน(ราย)</v>
      </c>
      <c r="X2" s="103" t="str">
        <f ca="1">IFERROR(__xludf.DUMMYFUNCTION("""COMPUTED_VALUE"""),"จำนวน(คน)")</f>
        <v>จำนวน(คน)</v>
      </c>
      <c r="Y2" s="103" t="str">
        <f ca="1">IFERROR(__xludf.DUMMYFUNCTION("""COMPUTED_VALUE"""),"จำนวน(ราย)")</f>
        <v>จำนวน(ราย)</v>
      </c>
      <c r="Z2" s="103" t="str">
        <f ca="1">IFERROR(__xludf.DUMMYFUNCTION("""COMPUTED_VALUE"""),"จำนวน(คน)")</f>
        <v>จำนวน(คน)</v>
      </c>
      <c r="AA2" s="103" t="str">
        <f ca="1">IFERROR(__xludf.DUMMYFUNCTION("""COMPUTED_VALUE"""),"จำนวน(ราย)")</f>
        <v>จำนวน(ราย)</v>
      </c>
      <c r="AB2" s="103" t="str">
        <f ca="1">IFERROR(__xludf.DUMMYFUNCTION("""COMPUTED_VALUE"""),"จำนวน(คน)")</f>
        <v>จำนวน(คน)</v>
      </c>
      <c r="AC2" s="103" t="str">
        <f ca="1">IFERROR(__xludf.DUMMYFUNCTION("""COMPUTED_VALUE"""),"จำนวน(ราย)")</f>
        <v>จำนวน(ราย)</v>
      </c>
      <c r="AD2" s="103" t="str">
        <f ca="1">IFERROR(__xludf.DUMMYFUNCTION("""COMPUTED_VALUE"""),"จำนวน(คน)")</f>
        <v>จำนวน(คน)</v>
      </c>
      <c r="AE2" s="103" t="str">
        <f ca="1">IFERROR(__xludf.DUMMYFUNCTION("""COMPUTED_VALUE"""),"จำนวน(ราย)")</f>
        <v>จำนวน(ราย)</v>
      </c>
      <c r="AF2" s="103" t="str">
        <f ca="1">IFERROR(__xludf.DUMMYFUNCTION("""COMPUTED_VALUE"""),"จำนวน(คน)")</f>
        <v>จำนวน(คน)</v>
      </c>
      <c r="AG2" s="103" t="str">
        <f ca="1">IFERROR(__xludf.DUMMYFUNCTION("""COMPUTED_VALUE"""),"จำนวน(ราย)")</f>
        <v>จำนวน(ราย)</v>
      </c>
      <c r="AH2" s="103" t="str">
        <f ca="1">IFERROR(__xludf.DUMMYFUNCTION("""COMPUTED_VALUE"""),"จำนวน(คน)")</f>
        <v>จำนวน(คน)</v>
      </c>
      <c r="AI2" s="103" t="str">
        <f ca="1">IFERROR(__xludf.DUMMYFUNCTION("""COMPUTED_VALUE"""),"จำนวน(ราย)")</f>
        <v>จำนวน(ราย)</v>
      </c>
      <c r="AJ2" s="103" t="str">
        <f ca="1">IFERROR(__xludf.DUMMYFUNCTION("""COMPUTED_VALUE"""),"จำนวน(คน)")</f>
        <v>จำนวน(คน)</v>
      </c>
      <c r="AK2" s="103" t="str">
        <f ca="1">IFERROR(__xludf.DUMMYFUNCTION("""COMPUTED_VALUE"""),"จำนวน(ราย)")</f>
        <v>จำนวน(ราย)</v>
      </c>
      <c r="AL2" s="103" t="str">
        <f ca="1">IFERROR(__xludf.DUMMYFUNCTION("""COMPUTED_VALUE"""),"จำนวน(คน)")</f>
        <v>จำนวน(คน)</v>
      </c>
      <c r="AM2" s="103" t="str">
        <f ca="1">IFERROR(__xludf.DUMMYFUNCTION("""COMPUTED_VALUE"""),"จำนวน(ราย)")</f>
        <v>จำนวน(ราย)</v>
      </c>
      <c r="AN2" s="103" t="str">
        <f ca="1">IFERROR(__xludf.DUMMYFUNCTION("""COMPUTED_VALUE"""),"จำนวน(คน)")</f>
        <v>จำนวน(คน)</v>
      </c>
      <c r="AO2" s="103" t="str">
        <f ca="1">IFERROR(__xludf.DUMMYFUNCTION("""COMPUTED_VALUE"""),"จำนวน(ราย)")</f>
        <v>จำนวน(ราย)</v>
      </c>
      <c r="AP2" s="103" t="str">
        <f ca="1">IFERROR(__xludf.DUMMYFUNCTION("""COMPUTED_VALUE"""),"จำนวน(คน)")</f>
        <v>จำนวน(คน)</v>
      </c>
      <c r="AQ2" s="103" t="str">
        <f ca="1">IFERROR(__xludf.DUMMYFUNCTION("""COMPUTED_VALUE"""),"จำนวน(ราย)")</f>
        <v>จำนวน(ราย)</v>
      </c>
      <c r="AR2" s="103" t="str">
        <f ca="1">IFERROR(__xludf.DUMMYFUNCTION("""COMPUTED_VALUE"""),"จำนวน(คน)")</f>
        <v>จำนวน(คน)</v>
      </c>
      <c r="AS2" s="103" t="str">
        <f ca="1">IFERROR(__xludf.DUMMYFUNCTION("""COMPUTED_VALUE"""),"จำนวน(ราย)")</f>
        <v>จำนวน(ราย)</v>
      </c>
      <c r="AT2" s="103" t="str">
        <f ca="1">IFERROR(__xludf.DUMMYFUNCTION("""COMPUTED_VALUE"""),"จำนวน(คน)")</f>
        <v>จำนวน(คน)</v>
      </c>
      <c r="AU2" s="103" t="str">
        <f ca="1">IFERROR(__xludf.DUMMYFUNCTION("""COMPUTED_VALUE"""),"จำนวน(ราย)")</f>
        <v>จำนวน(ราย)</v>
      </c>
      <c r="AV2" s="103" t="str">
        <f ca="1">IFERROR(__xludf.DUMMYFUNCTION("""COMPUTED_VALUE"""),"จำนวน(คน)")</f>
        <v>จำนวน(คน)</v>
      </c>
      <c r="AW2" s="103" t="str">
        <f ca="1">IFERROR(__xludf.DUMMYFUNCTION("""COMPUTED_VALUE"""),"จำนวน(ราย)")</f>
        <v>จำนวน(ราย)</v>
      </c>
      <c r="AX2" s="103" t="str">
        <f ca="1">IFERROR(__xludf.DUMMYFUNCTION("""COMPUTED_VALUE"""),"จำนวน(คน)")</f>
        <v>จำนวน(คน)</v>
      </c>
      <c r="AY2" s="103" t="str">
        <f ca="1">IFERROR(__xludf.DUMMYFUNCTION("""COMPUTED_VALUE"""),"จำนวน(ราย)")</f>
        <v>จำนวน(ราย)</v>
      </c>
      <c r="AZ2" s="103" t="str">
        <f ca="1">IFERROR(__xludf.DUMMYFUNCTION("""COMPUTED_VALUE"""),"จำนวน(คน)")</f>
        <v>จำนวน(คน)</v>
      </c>
      <c r="BA2" s="103" t="str">
        <f ca="1">IFERROR(__xludf.DUMMYFUNCTION("""COMPUTED_VALUE"""),"จำนวน(ราย)")</f>
        <v>จำนวน(ราย)</v>
      </c>
      <c r="BB2" s="103" t="str">
        <f ca="1">IFERROR(__xludf.DUMMYFUNCTION("""COMPUTED_VALUE"""),"จำนวน(คน)")</f>
        <v>จำนวน(คน)</v>
      </c>
      <c r="BC2" s="103" t="str">
        <f ca="1">IFERROR(__xludf.DUMMYFUNCTION("""COMPUTED_VALUE"""),"")</f>
        <v/>
      </c>
      <c r="BD2" s="103" t="str">
        <f ca="1">IFERROR(__xludf.DUMMYFUNCTION("""COMPUTED_VALUE"""),"")</f>
        <v/>
      </c>
      <c r="BE2" s="103" t="str">
        <f ca="1">IFERROR(__xludf.DUMMYFUNCTION("""COMPUTED_VALUE"""),"")</f>
        <v/>
      </c>
      <c r="BF2" s="103" t="str">
        <f ca="1">IFERROR(__xludf.DUMMYFUNCTION("""COMPUTED_VALUE"""),"")</f>
        <v/>
      </c>
      <c r="BG2" s="103" t="str">
        <f ca="1">IFERROR(__xludf.DUMMYFUNCTION("""COMPUTED_VALUE"""),"")</f>
        <v/>
      </c>
      <c r="BH2" s="103" t="str">
        <f ca="1">IFERROR(__xludf.DUMMYFUNCTION("""COMPUTED_VALUE"""),"")</f>
        <v/>
      </c>
    </row>
    <row r="3" spans="1:67" ht="15">
      <c r="A3" s="104" t="s">
        <v>13</v>
      </c>
      <c r="B3" s="141" t="e">
        <f>#REF!</f>
        <v>#REF!</v>
      </c>
      <c r="C3" s="131" t="e">
        <f>B3-1</f>
        <v>#REF!</v>
      </c>
      <c r="D3" s="130">
        <f ca="1">IFERROR(__xludf.DUMMYFUNCTION("""COMPUTED_VALUE"""),44470.3094330671)</f>
        <v>44470.309433067101</v>
      </c>
      <c r="E3" s="108" t="str">
        <f ca="1">IFERROR(__xludf.DUMMYFUNCTION("""COMPUTED_VALUE"""),"border@rtp.com")</f>
        <v>border@rtp.com</v>
      </c>
      <c r="F3" s="108" t="str">
        <f ca="1">IFERROR(__xludf.DUMMYFUNCTION("""COMPUTED_VALUE"""),"rtp2021")</f>
        <v>rtp2021</v>
      </c>
      <c r="G3" s="108"/>
      <c r="H3" s="108" t="str">
        <f ca="1">IFERROR(__xludf.DUMMYFUNCTION("""COMPUTED_VALUE"""),"บช.ตชด.")</f>
        <v>บช.ตชด.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>
        <f ca="1">IFERROR(__xludf.DUMMYFUNCTION("""COMPUTED_VALUE"""),2)</f>
        <v>2</v>
      </c>
      <c r="AD3" s="108">
        <f ca="1">IFERROR(__xludf.DUMMYFUNCTION("""COMPUTED_VALUE"""),2)</f>
        <v>2</v>
      </c>
      <c r="AE3" s="108">
        <f ca="1">IFERROR(__xludf.DUMMYFUNCTION("""COMPUTED_VALUE"""),1)</f>
        <v>1</v>
      </c>
      <c r="AF3" s="108">
        <f ca="1">IFERROR(__xludf.DUMMYFUNCTION("""COMPUTED_VALUE"""),1)</f>
        <v>1</v>
      </c>
      <c r="AG3" s="108"/>
      <c r="AH3" s="108"/>
      <c r="AI3" s="108"/>
      <c r="AJ3" s="108"/>
      <c r="AK3" s="108"/>
      <c r="AL3" s="108"/>
      <c r="AM3" s="108">
        <f ca="1">IFERROR(__xludf.DUMMYFUNCTION("""COMPUTED_VALUE"""),2)</f>
        <v>2</v>
      </c>
      <c r="AN3" s="108">
        <f ca="1">IFERROR(__xludf.DUMMYFUNCTION("""COMPUTED_VALUE"""),3)</f>
        <v>3</v>
      </c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</row>
    <row r="4" spans="1:67" ht="12.75">
      <c r="A4" s="637" t="s">
        <v>19</v>
      </c>
      <c r="B4" s="632" t="s">
        <v>74</v>
      </c>
      <c r="C4" s="628"/>
    </row>
    <row r="5" spans="1:67" ht="12.75">
      <c r="A5" s="638"/>
      <c r="B5" s="109" t="s">
        <v>21</v>
      </c>
      <c r="C5" s="110" t="s">
        <v>22</v>
      </c>
    </row>
    <row r="6" spans="1:67" ht="12.75">
      <c r="A6" s="111" t="s">
        <v>23</v>
      </c>
      <c r="B6" s="112"/>
      <c r="C6" s="113"/>
    </row>
    <row r="7" spans="1:67" ht="12.75">
      <c r="A7" s="114" t="s">
        <v>24</v>
      </c>
      <c r="B7" s="115">
        <f t="shared" ref="B7:C7" ca="1" si="0">SUM(I:I)</f>
        <v>0</v>
      </c>
      <c r="C7" s="116">
        <f t="shared" ca="1" si="0"/>
        <v>0</v>
      </c>
    </row>
    <row r="8" spans="1:67" ht="12.75">
      <c r="A8" s="114" t="s">
        <v>25</v>
      </c>
      <c r="B8" s="115"/>
      <c r="C8" s="116"/>
    </row>
    <row r="9" spans="1:67" ht="12.75">
      <c r="A9" s="114" t="s">
        <v>26</v>
      </c>
      <c r="B9" s="115">
        <f t="shared" ref="B9:C9" ca="1" si="1">SUM(K:K)</f>
        <v>0</v>
      </c>
      <c r="C9" s="116">
        <f t="shared" ca="1" si="1"/>
        <v>0</v>
      </c>
    </row>
    <row r="10" spans="1:67" ht="12.75">
      <c r="A10" s="114" t="s">
        <v>27</v>
      </c>
      <c r="B10" s="115">
        <f t="shared" ref="B10:C10" ca="1" si="2">SUM(M:M)</f>
        <v>0</v>
      </c>
      <c r="C10" s="116">
        <f t="shared" ca="1" si="2"/>
        <v>0</v>
      </c>
    </row>
    <row r="11" spans="1:67" ht="12.75">
      <c r="A11" s="114" t="s">
        <v>28</v>
      </c>
      <c r="B11" s="115"/>
      <c r="C11" s="116"/>
    </row>
    <row r="12" spans="1:67" ht="12.75">
      <c r="A12" s="114" t="s">
        <v>29</v>
      </c>
      <c r="B12" s="115">
        <f t="shared" ref="B12:C12" ca="1" si="3">SUM(O:O)</f>
        <v>0</v>
      </c>
      <c r="C12" s="116">
        <f t="shared" ca="1" si="3"/>
        <v>0</v>
      </c>
    </row>
    <row r="13" spans="1:67" ht="12.75">
      <c r="A13" s="114" t="s">
        <v>30</v>
      </c>
      <c r="B13" s="115">
        <f t="shared" ref="B13:C13" ca="1" si="4">SUM(Q:Q)</f>
        <v>0</v>
      </c>
      <c r="C13" s="116">
        <f t="shared" ca="1" si="4"/>
        <v>0</v>
      </c>
    </row>
    <row r="14" spans="1:67" ht="12.75">
      <c r="A14" s="114" t="s">
        <v>31</v>
      </c>
      <c r="B14" s="115">
        <f t="shared" ref="B14:C14" ca="1" si="5">SUM(S:S)</f>
        <v>0</v>
      </c>
      <c r="C14" s="116">
        <f t="shared" ca="1" si="5"/>
        <v>0</v>
      </c>
    </row>
    <row r="15" spans="1:67" ht="12.75">
      <c r="A15" s="117" t="s">
        <v>32</v>
      </c>
      <c r="B15" s="118">
        <f t="shared" ref="B15:C15" ca="1" si="6">SUM(B6:B14)</f>
        <v>0</v>
      </c>
      <c r="C15" s="119">
        <f t="shared" ca="1" si="6"/>
        <v>0</v>
      </c>
    </row>
    <row r="16" spans="1:67" ht="12.75">
      <c r="A16" s="111" t="s">
        <v>33</v>
      </c>
      <c r="B16" s="120"/>
      <c r="C16" s="121"/>
    </row>
    <row r="17" spans="1:3" ht="12.75">
      <c r="A17" s="114" t="s">
        <v>34</v>
      </c>
      <c r="B17" s="115">
        <f t="shared" ref="B17:C17" ca="1" si="7">SUM(U:U)</f>
        <v>0</v>
      </c>
      <c r="C17" s="116">
        <f t="shared" ca="1" si="7"/>
        <v>0</v>
      </c>
    </row>
    <row r="18" spans="1:3" ht="12.75">
      <c r="A18" s="114" t="s">
        <v>35</v>
      </c>
      <c r="B18" s="115">
        <f t="shared" ref="B18:C18" ca="1" si="8">SUM(W:W)</f>
        <v>0</v>
      </c>
      <c r="C18" s="116">
        <f t="shared" ca="1" si="8"/>
        <v>0</v>
      </c>
    </row>
    <row r="19" spans="1:3" ht="12.75">
      <c r="A19" s="114" t="s">
        <v>36</v>
      </c>
      <c r="B19" s="115">
        <f t="shared" ref="B19:C19" ca="1" si="9">SUM(Y:Y)</f>
        <v>0</v>
      </c>
      <c r="C19" s="116">
        <f t="shared" ca="1" si="9"/>
        <v>0</v>
      </c>
    </row>
    <row r="20" spans="1:3" ht="12.75">
      <c r="A20" s="114" t="s">
        <v>37</v>
      </c>
      <c r="B20" s="115">
        <f t="shared" ref="B20:C20" ca="1" si="10">SUM(AA:AA)</f>
        <v>0</v>
      </c>
      <c r="C20" s="116">
        <f t="shared" ca="1" si="10"/>
        <v>0</v>
      </c>
    </row>
    <row r="21" spans="1:3" ht="12.75">
      <c r="A21" s="114" t="s">
        <v>38</v>
      </c>
      <c r="B21" s="115">
        <f t="shared" ref="B21:C21" ca="1" si="11">SUM(AC:AC)</f>
        <v>2</v>
      </c>
      <c r="C21" s="116">
        <f t="shared" ca="1" si="11"/>
        <v>2</v>
      </c>
    </row>
    <row r="22" spans="1:3" ht="12.75">
      <c r="A22" s="114" t="s">
        <v>39</v>
      </c>
      <c r="B22" s="115">
        <f t="shared" ref="B22:C22" ca="1" si="12">SUM(AE:AE)</f>
        <v>1</v>
      </c>
      <c r="C22" s="116">
        <f t="shared" ca="1" si="12"/>
        <v>1</v>
      </c>
    </row>
    <row r="23" spans="1:3" ht="12.75">
      <c r="A23" s="114" t="s">
        <v>40</v>
      </c>
      <c r="B23" s="115">
        <f t="shared" ref="B23:C23" ca="1" si="13">SUM(AG:AG)</f>
        <v>0</v>
      </c>
      <c r="C23" s="116">
        <f t="shared" ca="1" si="13"/>
        <v>0</v>
      </c>
    </row>
    <row r="24" spans="1:3" ht="12.75">
      <c r="A24" s="117" t="s">
        <v>32</v>
      </c>
      <c r="B24" s="118">
        <f t="shared" ref="B24:C24" ca="1" si="14">SUM(B17:B23)</f>
        <v>3</v>
      </c>
      <c r="C24" s="119">
        <f t="shared" ca="1" si="14"/>
        <v>3</v>
      </c>
    </row>
    <row r="25" spans="1:3" ht="12.75">
      <c r="A25" s="111" t="s">
        <v>41</v>
      </c>
      <c r="B25" s="120"/>
      <c r="C25" s="121"/>
    </row>
    <row r="26" spans="1:3" ht="12.75">
      <c r="A26" s="114" t="s">
        <v>42</v>
      </c>
      <c r="B26" s="115">
        <f t="shared" ref="B26:C26" ca="1" si="15">SUM(AI:AI)</f>
        <v>0</v>
      </c>
      <c r="C26" s="116">
        <f t="shared" ca="1" si="15"/>
        <v>0</v>
      </c>
    </row>
    <row r="27" spans="1:3" ht="12.75">
      <c r="A27" s="114" t="s">
        <v>43</v>
      </c>
      <c r="B27" s="115">
        <f t="shared" ref="B27:C27" ca="1" si="16">SUM(AK:AK)</f>
        <v>0</v>
      </c>
      <c r="C27" s="116">
        <f t="shared" ca="1" si="16"/>
        <v>0</v>
      </c>
    </row>
    <row r="28" spans="1:3" ht="12.75">
      <c r="A28" s="114" t="s">
        <v>44</v>
      </c>
      <c r="B28" s="115">
        <f t="shared" ref="B28:C28" ca="1" si="17">SUM(AM:AM)</f>
        <v>2</v>
      </c>
      <c r="C28" s="116">
        <f t="shared" ca="1" si="17"/>
        <v>3</v>
      </c>
    </row>
    <row r="29" spans="1:3" ht="12.75">
      <c r="A29" s="117" t="s">
        <v>32</v>
      </c>
      <c r="B29" s="118">
        <f t="shared" ref="B29:C29" ca="1" si="18">SUM(B26:B28)</f>
        <v>2</v>
      </c>
      <c r="C29" s="119">
        <f t="shared" ca="1" si="18"/>
        <v>3</v>
      </c>
    </row>
    <row r="30" spans="1:3" ht="12.75">
      <c r="A30" s="111" t="s">
        <v>45</v>
      </c>
      <c r="B30" s="120"/>
      <c r="C30" s="121"/>
    </row>
    <row r="31" spans="1:3" ht="12.75">
      <c r="A31" s="114" t="s">
        <v>46</v>
      </c>
      <c r="B31" s="115">
        <f t="shared" ref="B31:C31" ca="1" si="19">SUM(AO:AO)</f>
        <v>0</v>
      </c>
      <c r="C31" s="116">
        <f t="shared" ca="1" si="19"/>
        <v>0</v>
      </c>
    </row>
    <row r="32" spans="1:3" ht="12.75">
      <c r="A32" s="114" t="s">
        <v>47</v>
      </c>
      <c r="B32" s="115">
        <f t="shared" ref="B32:C32" ca="1" si="20">SUM(AQ:AQ)</f>
        <v>0</v>
      </c>
      <c r="C32" s="116">
        <f t="shared" ca="1" si="20"/>
        <v>0</v>
      </c>
    </row>
    <row r="33" spans="1:67" ht="12.75">
      <c r="A33" s="114" t="s">
        <v>48</v>
      </c>
      <c r="B33" s="115">
        <f t="shared" ref="B33:C33" ca="1" si="21">SUM(AS:AS)</f>
        <v>0</v>
      </c>
      <c r="C33" s="116">
        <f t="shared" ca="1" si="21"/>
        <v>0</v>
      </c>
    </row>
    <row r="34" spans="1:67" ht="12.75">
      <c r="A34" s="114" t="s">
        <v>49</v>
      </c>
      <c r="B34" s="115">
        <f t="shared" ref="B34:C34" ca="1" si="22">SUM(AU:AU)</f>
        <v>0</v>
      </c>
      <c r="C34" s="116">
        <f t="shared" ca="1" si="22"/>
        <v>0</v>
      </c>
    </row>
    <row r="35" spans="1:67" ht="12.75">
      <c r="A35" s="114" t="s">
        <v>50</v>
      </c>
      <c r="B35" s="115">
        <f t="shared" ref="B35:C35" ca="1" si="23">SUM(AW:AW)</f>
        <v>0</v>
      </c>
      <c r="C35" s="116">
        <f t="shared" ca="1" si="23"/>
        <v>0</v>
      </c>
    </row>
    <row r="36" spans="1:67" ht="12.75">
      <c r="A36" s="117" t="s">
        <v>32</v>
      </c>
      <c r="B36" s="118">
        <f t="shared" ref="B36:C36" ca="1" si="24">SUM(B31:B35)</f>
        <v>0</v>
      </c>
      <c r="C36" s="119">
        <f t="shared" ca="1" si="24"/>
        <v>0</v>
      </c>
    </row>
    <row r="37" spans="1:67" ht="12.75">
      <c r="A37" s="122" t="s">
        <v>51</v>
      </c>
      <c r="B37" s="123">
        <f t="shared" ref="B37:C37" ca="1" si="25">SUM(AY:AY)</f>
        <v>0</v>
      </c>
      <c r="C37" s="124">
        <f t="shared" ca="1" si="25"/>
        <v>0</v>
      </c>
    </row>
    <row r="38" spans="1:67" ht="12.75">
      <c r="A38" s="125" t="s">
        <v>52</v>
      </c>
      <c r="B38" s="123">
        <f t="shared" ref="B38:C38" ca="1" si="26">SUM(BA:BA)</f>
        <v>0</v>
      </c>
      <c r="C38" s="124">
        <f t="shared" ca="1" si="26"/>
        <v>0</v>
      </c>
    </row>
    <row r="39" spans="1:67" ht="15">
      <c r="A39" s="126" t="s">
        <v>20</v>
      </c>
      <c r="B39" s="127">
        <f t="shared" ref="B39:C39" ca="1" si="27">SUM(B15,B24,B29,B36,B37,B38)</f>
        <v>5</v>
      </c>
      <c r="C39" s="128">
        <f t="shared" ca="1" si="27"/>
        <v>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</sheetData>
  <mergeCells count="3">
    <mergeCell ref="A1:C1"/>
    <mergeCell ref="A4:A5"/>
    <mergeCell ref="B4:C4"/>
  </mergeCells>
  <dataValidations count="1">
    <dataValidation type="list" allowBlank="1" sqref="A3">
      <formula1>"บช.น.,ภ.1,ภ.2,ภ.3,ภ.4,ภ.5,ภ.6,ภ.7,ภ.8,ภ.9,บช.ก.,บช.สอท.,บช.ปส.,สตม.,บช.ทท.,บช.ตชด."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B95F9"/>
  </sheetPr>
  <dimension ref="A1:BY36"/>
  <sheetViews>
    <sheetView view="pageBreakPreview" topLeftCell="L1" zoomScaleNormal="100" zoomScaleSheetLayoutView="100" workbookViewId="0">
      <selection activeCell="BC19" sqref="BC19"/>
    </sheetView>
  </sheetViews>
  <sheetFormatPr defaultColWidth="14.42578125" defaultRowHeight="12.75"/>
  <cols>
    <col min="1" max="1" width="57.28515625" style="282" customWidth="1"/>
    <col min="2" max="3" width="7.28515625" style="282" customWidth="1"/>
    <col min="4" max="5" width="3.7109375" style="282" customWidth="1"/>
    <col min="6" max="6" width="6" style="282" customWidth="1"/>
    <col min="7" max="8" width="3.7109375" style="282" customWidth="1"/>
    <col min="9" max="9" width="6" style="282" customWidth="1"/>
    <col min="10" max="11" width="3.7109375" style="282" customWidth="1"/>
    <col min="12" max="12" width="6" style="282" customWidth="1"/>
    <col min="13" max="14" width="3.7109375" style="282" customWidth="1"/>
    <col min="15" max="15" width="6" style="282" customWidth="1"/>
    <col min="16" max="17" width="3.7109375" style="282" customWidth="1"/>
    <col min="18" max="18" width="6" style="282" customWidth="1"/>
    <col min="19" max="20" width="3.7109375" style="282" customWidth="1"/>
    <col min="21" max="21" width="6" style="282" customWidth="1"/>
    <col min="22" max="23" width="3.7109375" style="282" customWidth="1"/>
    <col min="24" max="24" width="6" style="282" customWidth="1"/>
    <col min="25" max="26" width="3.7109375" style="282" customWidth="1"/>
    <col min="27" max="27" width="6" style="282" customWidth="1"/>
    <col min="28" max="29" width="3.7109375" style="282" customWidth="1"/>
    <col min="30" max="30" width="6" style="282" customWidth="1"/>
    <col min="31" max="32" width="3.7109375" style="282" customWidth="1"/>
    <col min="33" max="33" width="6" style="282" customWidth="1"/>
    <col min="34" max="35" width="3.7109375" style="282" customWidth="1"/>
    <col min="36" max="36" width="6" style="282" customWidth="1"/>
    <col min="37" max="38" width="3.7109375" style="282" customWidth="1"/>
    <col min="39" max="39" width="6" style="282" customWidth="1"/>
    <col min="40" max="41" width="3.7109375" style="282" customWidth="1"/>
    <col min="42" max="42" width="6" style="282" customWidth="1"/>
    <col min="43" max="44" width="3.7109375" style="282" customWidth="1"/>
    <col min="45" max="45" width="6" style="282" customWidth="1"/>
    <col min="46" max="47" width="3.7109375" style="282" customWidth="1"/>
    <col min="48" max="48" width="6" style="282" customWidth="1"/>
    <col min="49" max="50" width="3.7109375" style="282" customWidth="1"/>
    <col min="51" max="51" width="6" style="282" customWidth="1"/>
    <col min="52" max="77" width="5.140625" style="282" customWidth="1"/>
    <col min="78" max="16384" width="14.42578125" style="282"/>
  </cols>
  <sheetData>
    <row r="1" spans="1:77" ht="15.75" customHeight="1" thickBot="1">
      <c r="A1" s="279" t="s">
        <v>80</v>
      </c>
      <c r="B1" s="677" t="s">
        <v>18</v>
      </c>
      <c r="C1" s="678"/>
      <c r="D1" s="679" t="s">
        <v>81</v>
      </c>
      <c r="E1" s="680"/>
      <c r="F1" s="680"/>
      <c r="G1" s="680"/>
      <c r="H1" s="680"/>
      <c r="I1" s="680"/>
      <c r="J1" s="280"/>
      <c r="K1" s="280"/>
      <c r="L1" s="281"/>
      <c r="M1" s="280"/>
      <c r="N1" s="280"/>
      <c r="O1" s="281"/>
      <c r="P1" s="280"/>
      <c r="Q1" s="280"/>
      <c r="R1" s="281"/>
      <c r="S1" s="280"/>
      <c r="T1" s="280"/>
      <c r="U1" s="281"/>
      <c r="V1" s="280"/>
      <c r="W1" s="280"/>
      <c r="X1" s="281"/>
      <c r="Y1" s="280"/>
      <c r="Z1" s="280"/>
      <c r="AA1" s="281"/>
      <c r="AB1" s="280"/>
      <c r="AC1" s="280"/>
      <c r="AD1" s="281"/>
      <c r="AE1" s="280"/>
      <c r="AF1" s="280"/>
      <c r="AG1" s="281"/>
      <c r="AH1" s="280"/>
      <c r="AI1" s="280"/>
      <c r="AJ1" s="281"/>
      <c r="AK1" s="280"/>
      <c r="AL1" s="280"/>
      <c r="AM1" s="281"/>
      <c r="AN1" s="280"/>
      <c r="AO1" s="280"/>
      <c r="AP1" s="281"/>
      <c r="AQ1" s="280"/>
      <c r="AR1" s="280"/>
      <c r="AS1" s="281"/>
      <c r="AT1" s="280"/>
      <c r="AU1" s="280"/>
      <c r="AV1" s="281"/>
      <c r="AW1" s="280"/>
      <c r="AX1" s="280"/>
      <c r="AY1" s="281"/>
      <c r="AZ1" s="280"/>
      <c r="BA1" s="280"/>
      <c r="BB1" s="280"/>
      <c r="BC1" s="280"/>
      <c r="BD1" s="280"/>
      <c r="BE1" s="280"/>
      <c r="BF1" s="280"/>
      <c r="BG1" s="280"/>
      <c r="BH1" s="280"/>
      <c r="BI1" s="280"/>
      <c r="BJ1" s="280"/>
      <c r="BK1" s="280"/>
      <c r="BL1" s="280"/>
      <c r="BM1" s="280"/>
      <c r="BN1" s="280"/>
      <c r="BO1" s="280"/>
      <c r="BP1" s="280"/>
      <c r="BQ1" s="280"/>
      <c r="BR1" s="280"/>
      <c r="BS1" s="280"/>
      <c r="BT1" s="280"/>
      <c r="BU1" s="280"/>
      <c r="BV1" s="280"/>
      <c r="BW1" s="280"/>
      <c r="BX1" s="280"/>
      <c r="BY1" s="280"/>
    </row>
    <row r="2" spans="1:77" ht="13.5" thickBot="1">
      <c r="A2" s="681" t="s">
        <v>82</v>
      </c>
      <c r="B2" s="682" t="s">
        <v>20</v>
      </c>
      <c r="C2" s="683"/>
      <c r="D2" s="684" t="s">
        <v>11</v>
      </c>
      <c r="E2" s="685"/>
      <c r="F2" s="686"/>
      <c r="G2" s="676" t="s">
        <v>9</v>
      </c>
      <c r="H2" s="674"/>
      <c r="I2" s="675"/>
      <c r="J2" s="676" t="s">
        <v>4</v>
      </c>
      <c r="K2" s="674"/>
      <c r="L2" s="675"/>
      <c r="M2" s="676" t="s">
        <v>2</v>
      </c>
      <c r="N2" s="674"/>
      <c r="O2" s="675"/>
      <c r="P2" s="676" t="s">
        <v>0</v>
      </c>
      <c r="Q2" s="674"/>
      <c r="R2" s="675"/>
      <c r="S2" s="676" t="s">
        <v>14</v>
      </c>
      <c r="T2" s="674"/>
      <c r="U2" s="675"/>
      <c r="V2" s="676" t="s">
        <v>15</v>
      </c>
      <c r="W2" s="674"/>
      <c r="X2" s="675"/>
      <c r="Y2" s="676" t="s">
        <v>1</v>
      </c>
      <c r="Z2" s="674"/>
      <c r="AA2" s="675"/>
      <c r="AB2" s="676" t="s">
        <v>3</v>
      </c>
      <c r="AC2" s="674"/>
      <c r="AD2" s="675"/>
      <c r="AE2" s="676" t="s">
        <v>8</v>
      </c>
      <c r="AF2" s="674"/>
      <c r="AG2" s="675"/>
      <c r="AH2" s="676" t="s">
        <v>5</v>
      </c>
      <c r="AI2" s="674"/>
      <c r="AJ2" s="675"/>
      <c r="AK2" s="673" t="s">
        <v>6</v>
      </c>
      <c r="AL2" s="674"/>
      <c r="AM2" s="675"/>
      <c r="AN2" s="673" t="s">
        <v>12</v>
      </c>
      <c r="AO2" s="674"/>
      <c r="AP2" s="675"/>
      <c r="AQ2" s="673" t="s">
        <v>7</v>
      </c>
      <c r="AR2" s="674"/>
      <c r="AS2" s="675"/>
      <c r="AT2" s="673" t="s">
        <v>10</v>
      </c>
      <c r="AU2" s="674"/>
      <c r="AV2" s="675"/>
      <c r="AW2" s="673" t="s">
        <v>13</v>
      </c>
      <c r="AX2" s="674"/>
      <c r="AY2" s="675"/>
      <c r="AZ2" s="283"/>
      <c r="BA2" s="283"/>
      <c r="BB2" s="283"/>
      <c r="BC2" s="283"/>
      <c r="BD2" s="283"/>
      <c r="BE2" s="283"/>
      <c r="BF2" s="283"/>
      <c r="BG2" s="283"/>
      <c r="BH2" s="283"/>
      <c r="BI2" s="283"/>
      <c r="BJ2" s="283"/>
      <c r="BK2" s="283"/>
      <c r="BL2" s="283"/>
      <c r="BM2" s="283"/>
      <c r="BN2" s="283"/>
      <c r="BO2" s="283"/>
      <c r="BP2" s="283"/>
      <c r="BQ2" s="283"/>
      <c r="BR2" s="283"/>
      <c r="BS2" s="283"/>
      <c r="BT2" s="283"/>
      <c r="BU2" s="283"/>
      <c r="BV2" s="283"/>
      <c r="BW2" s="283"/>
      <c r="BX2" s="283"/>
      <c r="BY2" s="283"/>
    </row>
    <row r="3" spans="1:77" ht="13.5" thickBot="1">
      <c r="A3" s="638"/>
      <c r="B3" s="322" t="s">
        <v>21</v>
      </c>
      <c r="C3" s="323" t="s">
        <v>22</v>
      </c>
      <c r="D3" s="260" t="s">
        <v>21</v>
      </c>
      <c r="E3" s="284" t="s">
        <v>22</v>
      </c>
      <c r="F3" s="285" t="s">
        <v>53</v>
      </c>
      <c r="G3" s="286" t="s">
        <v>21</v>
      </c>
      <c r="H3" s="287" t="s">
        <v>22</v>
      </c>
      <c r="I3" s="287" t="s">
        <v>53</v>
      </c>
      <c r="J3" s="288" t="s">
        <v>21</v>
      </c>
      <c r="K3" s="289" t="s">
        <v>22</v>
      </c>
      <c r="L3" s="290" t="s">
        <v>53</v>
      </c>
      <c r="M3" s="286" t="s">
        <v>21</v>
      </c>
      <c r="N3" s="287" t="s">
        <v>22</v>
      </c>
      <c r="O3" s="290" t="s">
        <v>53</v>
      </c>
      <c r="P3" s="288" t="s">
        <v>21</v>
      </c>
      <c r="Q3" s="289" t="s">
        <v>22</v>
      </c>
      <c r="R3" s="290" t="s">
        <v>53</v>
      </c>
      <c r="S3" s="286" t="s">
        <v>21</v>
      </c>
      <c r="T3" s="287" t="s">
        <v>22</v>
      </c>
      <c r="U3" s="290" t="s">
        <v>53</v>
      </c>
      <c r="V3" s="288" t="s">
        <v>21</v>
      </c>
      <c r="W3" s="289" t="s">
        <v>22</v>
      </c>
      <c r="X3" s="290" t="s">
        <v>53</v>
      </c>
      <c r="Y3" s="286" t="s">
        <v>21</v>
      </c>
      <c r="Z3" s="287" t="s">
        <v>22</v>
      </c>
      <c r="AA3" s="290" t="s">
        <v>53</v>
      </c>
      <c r="AB3" s="288" t="s">
        <v>21</v>
      </c>
      <c r="AC3" s="289" t="s">
        <v>22</v>
      </c>
      <c r="AD3" s="290" t="s">
        <v>53</v>
      </c>
      <c r="AE3" s="286" t="s">
        <v>21</v>
      </c>
      <c r="AF3" s="287" t="s">
        <v>22</v>
      </c>
      <c r="AG3" s="290" t="s">
        <v>53</v>
      </c>
      <c r="AH3" s="288" t="s">
        <v>21</v>
      </c>
      <c r="AI3" s="289" t="s">
        <v>22</v>
      </c>
      <c r="AJ3" s="290" t="s">
        <v>53</v>
      </c>
      <c r="AK3" s="286" t="s">
        <v>21</v>
      </c>
      <c r="AL3" s="287" t="s">
        <v>22</v>
      </c>
      <c r="AM3" s="290" t="s">
        <v>53</v>
      </c>
      <c r="AN3" s="288" t="s">
        <v>21</v>
      </c>
      <c r="AO3" s="289" t="s">
        <v>22</v>
      </c>
      <c r="AP3" s="290" t="s">
        <v>53</v>
      </c>
      <c r="AQ3" s="286" t="s">
        <v>21</v>
      </c>
      <c r="AR3" s="287" t="s">
        <v>22</v>
      </c>
      <c r="AS3" s="290" t="s">
        <v>53</v>
      </c>
      <c r="AT3" s="288" t="s">
        <v>21</v>
      </c>
      <c r="AU3" s="289" t="s">
        <v>22</v>
      </c>
      <c r="AV3" s="290" t="s">
        <v>53</v>
      </c>
      <c r="AW3" s="286" t="s">
        <v>21</v>
      </c>
      <c r="AX3" s="287" t="s">
        <v>22</v>
      </c>
      <c r="AY3" s="290" t="s">
        <v>53</v>
      </c>
      <c r="AZ3" s="291"/>
      <c r="BA3" s="291"/>
      <c r="BB3" s="291"/>
      <c r="BC3" s="291"/>
      <c r="BD3" s="291"/>
      <c r="BE3" s="291"/>
      <c r="BF3" s="291"/>
      <c r="BG3" s="291"/>
      <c r="BH3" s="291"/>
      <c r="BI3" s="291"/>
      <c r="BJ3" s="291"/>
      <c r="BK3" s="291"/>
      <c r="BL3" s="291"/>
      <c r="BM3" s="291"/>
      <c r="BN3" s="291"/>
      <c r="BO3" s="291"/>
      <c r="BP3" s="291"/>
      <c r="BQ3" s="291"/>
      <c r="BR3" s="291"/>
      <c r="BS3" s="291"/>
      <c r="BT3" s="291"/>
      <c r="BU3" s="291"/>
      <c r="BV3" s="291"/>
      <c r="BW3" s="291"/>
      <c r="BX3" s="291"/>
      <c r="BY3" s="291"/>
    </row>
    <row r="4" spans="1:77" ht="13.5" thickBot="1">
      <c r="A4" s="292" t="s">
        <v>83</v>
      </c>
      <c r="B4" s="324"/>
      <c r="C4" s="325"/>
      <c r="D4" s="293"/>
      <c r="E4" s="294"/>
      <c r="F4" s="295"/>
      <c r="G4" s="296"/>
      <c r="H4" s="296"/>
      <c r="I4" s="296"/>
      <c r="J4" s="297"/>
      <c r="K4" s="297"/>
      <c r="L4" s="298"/>
      <c r="M4" s="296"/>
      <c r="N4" s="296"/>
      <c r="O4" s="298"/>
      <c r="P4" s="297"/>
      <c r="Q4" s="297"/>
      <c r="R4" s="298"/>
      <c r="S4" s="296"/>
      <c r="T4" s="296"/>
      <c r="U4" s="298"/>
      <c r="V4" s="297"/>
      <c r="W4" s="297"/>
      <c r="X4" s="298"/>
      <c r="Y4" s="296"/>
      <c r="Z4" s="296"/>
      <c r="AA4" s="298"/>
      <c r="AB4" s="297"/>
      <c r="AC4" s="297"/>
      <c r="AD4" s="298"/>
      <c r="AE4" s="296"/>
      <c r="AF4" s="296"/>
      <c r="AG4" s="298"/>
      <c r="AH4" s="297"/>
      <c r="AI4" s="297"/>
      <c r="AJ4" s="298"/>
      <c r="AK4" s="296"/>
      <c r="AL4" s="296"/>
      <c r="AM4" s="298"/>
      <c r="AN4" s="297"/>
      <c r="AO4" s="297"/>
      <c r="AP4" s="298"/>
      <c r="AQ4" s="296"/>
      <c r="AR4" s="296"/>
      <c r="AS4" s="298"/>
      <c r="AT4" s="297"/>
      <c r="AU4" s="297"/>
      <c r="AV4" s="298"/>
      <c r="AW4" s="296"/>
      <c r="AX4" s="296"/>
      <c r="AY4" s="298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299"/>
      <c r="BP4" s="299"/>
      <c r="BQ4" s="299"/>
      <c r="BR4" s="299"/>
      <c r="BS4" s="299"/>
      <c r="BT4" s="299"/>
      <c r="BU4" s="299"/>
      <c r="BV4" s="299"/>
      <c r="BW4" s="299"/>
      <c r="BX4" s="299"/>
      <c r="BY4" s="299"/>
    </row>
    <row r="5" spans="1:77" ht="13.5" thickBot="1">
      <c r="A5" s="300" t="s">
        <v>84</v>
      </c>
      <c r="B5" s="326">
        <f t="shared" ref="B5:C8" si="0">D5+G5+J5+M5+P5+S5+V5+Y5+AB5+AE5+AH5+AK5+AN5+AQ5+AT5+AW5</f>
        <v>6</v>
      </c>
      <c r="C5" s="327">
        <f t="shared" si="0"/>
        <v>5</v>
      </c>
      <c r="D5" s="301">
        <f>SUM([1]บช.น.!$F$2:$F36)</f>
        <v>2</v>
      </c>
      <c r="E5" s="302">
        <f>SUM([1]บช.น.!$G$2:$G36)</f>
        <v>2</v>
      </c>
      <c r="F5" s="303">
        <f t="shared" ref="F5:F8" si="1">D5*5</f>
        <v>10</v>
      </c>
      <c r="G5" s="304">
        <f>SUM([1]ภ.1!$F$2:$F36)</f>
        <v>1</v>
      </c>
      <c r="H5" s="304">
        <f>SUM([1]ภ.1!$G$2:$G36)</f>
        <v>1</v>
      </c>
      <c r="I5" s="304">
        <f t="shared" ref="I5:I8" si="2">G5*5</f>
        <v>5</v>
      </c>
      <c r="J5" s="305">
        <f>SUM([1]ภ.2!$F$2:$F36)</f>
        <v>0</v>
      </c>
      <c r="K5" s="305">
        <f>SUM([1]ภ.2!$G$2:$G36)</f>
        <v>0</v>
      </c>
      <c r="L5" s="306">
        <f t="shared" ref="L5:L8" si="3">J5*5</f>
        <v>0</v>
      </c>
      <c r="M5" s="304">
        <f>SUM([1]ภ.3!$F$2:$F36)</f>
        <v>0</v>
      </c>
      <c r="N5" s="304">
        <f>SUM([1]ภ.3!$G$2:$G36)</f>
        <v>0</v>
      </c>
      <c r="O5" s="306">
        <f t="shared" ref="O5:O8" si="4">M5*5</f>
        <v>0</v>
      </c>
      <c r="P5" s="305">
        <f>SUM([1]ภ.4!$F$2:$F36)</f>
        <v>1</v>
      </c>
      <c r="Q5" s="305">
        <f>SUM([1]ภ.4!$G$2:$G36)</f>
        <v>1</v>
      </c>
      <c r="R5" s="306">
        <f t="shared" ref="R5:R8" si="5">P5*5</f>
        <v>5</v>
      </c>
      <c r="S5" s="304">
        <f>SUM([1]ภ.5!$F$2:$F36)</f>
        <v>0</v>
      </c>
      <c r="T5" s="304">
        <f>SUM([1]ภ.5!$G$2:$G36)</f>
        <v>0</v>
      </c>
      <c r="U5" s="306">
        <f t="shared" ref="U5:U8" si="6">S5*5</f>
        <v>0</v>
      </c>
      <c r="V5" s="305">
        <f>SUM([1]ภ.6!$F$2:$F36)</f>
        <v>0</v>
      </c>
      <c r="W5" s="305">
        <f>SUM([1]ภ.6!$G$2:$G36)</f>
        <v>0</v>
      </c>
      <c r="X5" s="306">
        <f t="shared" ref="X5:X8" si="7">V5*5</f>
        <v>0</v>
      </c>
      <c r="Y5" s="304">
        <f>SUM([1]ภ.7!$F$2:$F36)</f>
        <v>0</v>
      </c>
      <c r="Z5" s="304">
        <f>SUM([1]ภ.7!$G$2:$G36)</f>
        <v>0</v>
      </c>
      <c r="AA5" s="306">
        <f t="shared" ref="AA5:AA8" si="8">Y5*5</f>
        <v>0</v>
      </c>
      <c r="AB5" s="305">
        <f>SUM([1]ภ.8!$F$2:$F36)</f>
        <v>0</v>
      </c>
      <c r="AC5" s="305">
        <f>SUM([1]ภ.8!$G$2:$G36)</f>
        <v>0</v>
      </c>
      <c r="AD5" s="306">
        <f t="shared" ref="AD5:AD8" si="9">AB5*5</f>
        <v>0</v>
      </c>
      <c r="AE5" s="304">
        <f>SUM([1]ภ.9!$F$2:$F36)</f>
        <v>2</v>
      </c>
      <c r="AF5" s="304">
        <f>SUM([1]ภ.9!$G$2:$G36)</f>
        <v>1</v>
      </c>
      <c r="AG5" s="306">
        <f t="shared" ref="AG5:AG8" si="10">AE5*5</f>
        <v>10</v>
      </c>
      <c r="AH5" s="305">
        <f>SUM([1]บช.ก.!$F$2:$F36)</f>
        <v>0</v>
      </c>
      <c r="AI5" s="305">
        <f>SUM([1]บช.ก.!$G$2:$G36)</f>
        <v>0</v>
      </c>
      <c r="AJ5" s="306">
        <f t="shared" ref="AJ5:AJ8" si="11">AH5*5</f>
        <v>0</v>
      </c>
      <c r="AK5" s="304">
        <f>SUM([1]บช.สอท.!$F$2:$F36)</f>
        <v>0</v>
      </c>
      <c r="AL5" s="304">
        <f>SUM([1]บช.สอท.!$G$2:$G36)</f>
        <v>0</v>
      </c>
      <c r="AM5" s="306">
        <f t="shared" ref="AM5:AM8" si="12">AK5*5</f>
        <v>0</v>
      </c>
      <c r="AN5" s="305">
        <f>SUM([1]บช.ปส.!$F$2:$F36)</f>
        <v>0</v>
      </c>
      <c r="AO5" s="305">
        <f>SUM([1]บช.ปส.!$G$2:$G36)</f>
        <v>0</v>
      </c>
      <c r="AP5" s="306">
        <f t="shared" ref="AP5:AP8" si="13">AN5*5</f>
        <v>0</v>
      </c>
      <c r="AQ5" s="304">
        <f>SUM([1]สตม.!$F$2:$F36)</f>
        <v>0</v>
      </c>
      <c r="AR5" s="304">
        <f>SUM([1]สตม.!$G$2:$G36)</f>
        <v>0</v>
      </c>
      <c r="AS5" s="306">
        <f t="shared" ref="AS5:AS8" si="14">AQ5*5</f>
        <v>0</v>
      </c>
      <c r="AT5" s="305">
        <f>SUM([1]บช.ทท.!$F$2:$F36)</f>
        <v>0</v>
      </c>
      <c r="AU5" s="305">
        <f>SUM([1]บช.ทท.!$G$2:$G36)</f>
        <v>0</v>
      </c>
      <c r="AV5" s="306">
        <f t="shared" ref="AV5:AV8" si="15">AT5*5</f>
        <v>0</v>
      </c>
      <c r="AW5" s="304">
        <f>SUM([1]บช.ตชด.!$F$2:$F36)</f>
        <v>0</v>
      </c>
      <c r="AX5" s="304">
        <f>SUM([1]บช.ตชด.!$G$2:$G36)</f>
        <v>0</v>
      </c>
      <c r="AY5" s="306">
        <f t="shared" ref="AY5:AY8" si="16">AW5*5</f>
        <v>0</v>
      </c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  <c r="BL5" s="299"/>
      <c r="BM5" s="299"/>
      <c r="BN5" s="299"/>
      <c r="BO5" s="299"/>
      <c r="BP5" s="299"/>
      <c r="BQ5" s="299"/>
      <c r="BR5" s="299"/>
      <c r="BS5" s="299"/>
      <c r="BT5" s="299"/>
      <c r="BU5" s="299"/>
      <c r="BV5" s="299"/>
      <c r="BW5" s="299"/>
      <c r="BX5" s="299"/>
      <c r="BY5" s="299"/>
    </row>
    <row r="6" spans="1:77" ht="13.5" thickBot="1">
      <c r="A6" s="300" t="s">
        <v>85</v>
      </c>
      <c r="B6" s="326">
        <f t="shared" si="0"/>
        <v>1</v>
      </c>
      <c r="C6" s="327">
        <f t="shared" si="0"/>
        <v>1</v>
      </c>
      <c r="D6" s="301">
        <f>SUM([1]บช.น.!$H$2:$H36)</f>
        <v>0</v>
      </c>
      <c r="E6" s="302">
        <f>SUM([1]บช.น.!$I$2:$I36)</f>
        <v>0</v>
      </c>
      <c r="F6" s="303">
        <f t="shared" si="1"/>
        <v>0</v>
      </c>
      <c r="G6" s="304">
        <f>SUM([1]ภ.1!$H$2:$H36)</f>
        <v>0</v>
      </c>
      <c r="H6" s="304">
        <f>SUM([1]ภ.1!$I$2:$I36)</f>
        <v>0</v>
      </c>
      <c r="I6" s="304">
        <f t="shared" si="2"/>
        <v>0</v>
      </c>
      <c r="J6" s="305">
        <f>SUM([1]ภ.2!$H$2:$H36)</f>
        <v>0</v>
      </c>
      <c r="K6" s="305">
        <f>SUM([1]ภ.2!$I$2:$I36)</f>
        <v>0</v>
      </c>
      <c r="L6" s="307">
        <f t="shared" si="3"/>
        <v>0</v>
      </c>
      <c r="M6" s="304">
        <f>SUM([1]ภ.3!$H$2:$H36)</f>
        <v>0</v>
      </c>
      <c r="N6" s="304">
        <f>SUM([1]ภ.3!$I$2:$I36)</f>
        <v>0</v>
      </c>
      <c r="O6" s="307">
        <f t="shared" si="4"/>
        <v>0</v>
      </c>
      <c r="P6" s="305">
        <f>SUM([1]ภ.4!$H$2:$H36)</f>
        <v>0</v>
      </c>
      <c r="Q6" s="305">
        <f>SUM([1]ภ.4!$I$2:$I36)</f>
        <v>0</v>
      </c>
      <c r="R6" s="307">
        <f t="shared" si="5"/>
        <v>0</v>
      </c>
      <c r="S6" s="304">
        <f>SUM([1]ภ.5!$H$2:$H36)</f>
        <v>0</v>
      </c>
      <c r="T6" s="304">
        <f>SUM([1]ภ.5!$I$2:$I36)</f>
        <v>0</v>
      </c>
      <c r="U6" s="307">
        <f t="shared" si="6"/>
        <v>0</v>
      </c>
      <c r="V6" s="305">
        <f>SUM([1]ภ.6!$H$2:$H36)</f>
        <v>1</v>
      </c>
      <c r="W6" s="305">
        <f>SUM([1]ภ.6!$I$2:$I36)</f>
        <v>1</v>
      </c>
      <c r="X6" s="307">
        <f t="shared" si="7"/>
        <v>5</v>
      </c>
      <c r="Y6" s="304">
        <f>SUM([1]ภ.7!$H$2:$H36)</f>
        <v>0</v>
      </c>
      <c r="Z6" s="304">
        <f>SUM([1]ภ.7!$I$2:$I36)</f>
        <v>0</v>
      </c>
      <c r="AA6" s="307">
        <f t="shared" si="8"/>
        <v>0</v>
      </c>
      <c r="AB6" s="305">
        <f>SUM([1]ภ.8!$H$2:$H36)</f>
        <v>0</v>
      </c>
      <c r="AC6" s="305">
        <f>SUM([1]ภ.8!$I$2:$I36)</f>
        <v>0</v>
      </c>
      <c r="AD6" s="307">
        <f t="shared" si="9"/>
        <v>0</v>
      </c>
      <c r="AE6" s="304">
        <f>SUM([1]ภ.9!$H$2:$H36)</f>
        <v>0</v>
      </c>
      <c r="AF6" s="304">
        <f>SUM([1]ภ.9!$I$2:$I36)</f>
        <v>0</v>
      </c>
      <c r="AG6" s="307">
        <f t="shared" si="10"/>
        <v>0</v>
      </c>
      <c r="AH6" s="305">
        <f>SUM([1]บช.ก.!$H$2:$H36)</f>
        <v>0</v>
      </c>
      <c r="AI6" s="305">
        <f>SUM([1]บช.ก.!$I$2:$I36)</f>
        <v>0</v>
      </c>
      <c r="AJ6" s="307">
        <f t="shared" si="11"/>
        <v>0</v>
      </c>
      <c r="AK6" s="304">
        <f>SUM([1]บช.สอท.!$H$2:$H36)</f>
        <v>0</v>
      </c>
      <c r="AL6" s="304">
        <f>SUM([1]บช.สอท.!$I$2:$I36)</f>
        <v>0</v>
      </c>
      <c r="AM6" s="307">
        <f t="shared" si="12"/>
        <v>0</v>
      </c>
      <c r="AN6" s="305">
        <f>SUM([1]บช.ปส.!$H$2:$H36)</f>
        <v>0</v>
      </c>
      <c r="AO6" s="305">
        <f>SUM([1]บช.ปส.!$I$2:$I36)</f>
        <v>0</v>
      </c>
      <c r="AP6" s="307">
        <f t="shared" si="13"/>
        <v>0</v>
      </c>
      <c r="AQ6" s="304">
        <f>SUM([1]สตม.!$H$2:$H36)</f>
        <v>0</v>
      </c>
      <c r="AR6" s="304">
        <f>SUM([1]สตม.!$I$2:$I36)</f>
        <v>0</v>
      </c>
      <c r="AS6" s="307">
        <f t="shared" si="14"/>
        <v>0</v>
      </c>
      <c r="AT6" s="305">
        <f>SUM([1]บช.ทท.!$H$2:$H36)</f>
        <v>0</v>
      </c>
      <c r="AU6" s="305">
        <f>SUM([1]บช.ทท.!$I$2:$I36)</f>
        <v>0</v>
      </c>
      <c r="AV6" s="307">
        <f t="shared" si="15"/>
        <v>0</v>
      </c>
      <c r="AW6" s="304">
        <f>SUM([1]บช.ตชด.!$H$2:$H36)</f>
        <v>0</v>
      </c>
      <c r="AX6" s="304">
        <f>SUM([1]บช.ตชด.!$I$2:$I36)</f>
        <v>0</v>
      </c>
      <c r="AY6" s="307">
        <f t="shared" si="16"/>
        <v>0</v>
      </c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  <c r="BL6" s="299"/>
      <c r="BM6" s="299"/>
      <c r="BN6" s="299"/>
      <c r="BO6" s="299"/>
      <c r="BP6" s="299"/>
      <c r="BQ6" s="299"/>
      <c r="BR6" s="299"/>
      <c r="BS6" s="299"/>
      <c r="BT6" s="299"/>
      <c r="BU6" s="299"/>
      <c r="BV6" s="299"/>
      <c r="BW6" s="299"/>
      <c r="BX6" s="299"/>
      <c r="BY6" s="299"/>
    </row>
    <row r="7" spans="1:77" ht="13.5" thickBot="1">
      <c r="A7" s="300" t="s">
        <v>86</v>
      </c>
      <c r="B7" s="326">
        <f t="shared" si="0"/>
        <v>2</v>
      </c>
      <c r="C7" s="327">
        <f t="shared" si="0"/>
        <v>3</v>
      </c>
      <c r="D7" s="301">
        <f>SUM([1]บช.น.!$J$2:$J36)</f>
        <v>0</v>
      </c>
      <c r="E7" s="302">
        <f>SUM([1]บช.น.!$K$2:$K36)</f>
        <v>0</v>
      </c>
      <c r="F7" s="303">
        <f t="shared" si="1"/>
        <v>0</v>
      </c>
      <c r="G7" s="304">
        <f>SUM([1]ภ.1!$J$2:$J36)</f>
        <v>0</v>
      </c>
      <c r="H7" s="304">
        <f>SUM([1]ภ.1!$K$2:$K36)</f>
        <v>0</v>
      </c>
      <c r="I7" s="304">
        <f t="shared" si="2"/>
        <v>0</v>
      </c>
      <c r="J7" s="305">
        <f>SUM([1]ภ.2!$J$2:$J36)</f>
        <v>0</v>
      </c>
      <c r="K7" s="305">
        <f>SUM([1]ภ.2!$K$2:$K36)</f>
        <v>0</v>
      </c>
      <c r="L7" s="306">
        <f t="shared" si="3"/>
        <v>0</v>
      </c>
      <c r="M7" s="304">
        <f>SUM([1]ภ.3!$J$2:$J36)</f>
        <v>0</v>
      </c>
      <c r="N7" s="304">
        <f>SUM([1]ภ.3!$K$2:$K36)</f>
        <v>0</v>
      </c>
      <c r="O7" s="306">
        <f t="shared" si="4"/>
        <v>0</v>
      </c>
      <c r="P7" s="305">
        <f>SUM([1]ภ.4!$J$2:$J36)</f>
        <v>0</v>
      </c>
      <c r="Q7" s="305">
        <f>SUM([1]ภ.4!$K$2:$K36)</f>
        <v>0</v>
      </c>
      <c r="R7" s="306">
        <f t="shared" si="5"/>
        <v>0</v>
      </c>
      <c r="S7" s="304">
        <f>SUM([1]ภ.5!$J$2:$J36)</f>
        <v>0</v>
      </c>
      <c r="T7" s="304">
        <f>SUM([1]ภ.5!$K$2:$K36)</f>
        <v>0</v>
      </c>
      <c r="U7" s="306">
        <f t="shared" si="6"/>
        <v>0</v>
      </c>
      <c r="V7" s="305">
        <f>SUM([1]ภ.6!$J$2:$J36)</f>
        <v>0</v>
      </c>
      <c r="W7" s="305">
        <f>SUM([1]ภ.6!$K$2:$K36)</f>
        <v>0</v>
      </c>
      <c r="X7" s="306">
        <f t="shared" si="7"/>
        <v>0</v>
      </c>
      <c r="Y7" s="304">
        <f>SUM([1]ภ.7!$J$2:$J36)</f>
        <v>0</v>
      </c>
      <c r="Z7" s="304">
        <f>SUM([1]ภ.7!$K$2:$K36)</f>
        <v>0</v>
      </c>
      <c r="AA7" s="306">
        <f t="shared" si="8"/>
        <v>0</v>
      </c>
      <c r="AB7" s="305">
        <f>SUM([1]ภ.8!$J$2:$J36)</f>
        <v>0</v>
      </c>
      <c r="AC7" s="305">
        <f>SUM([1]ภ.8!$K$2:$K36)</f>
        <v>0</v>
      </c>
      <c r="AD7" s="306">
        <f t="shared" si="9"/>
        <v>0</v>
      </c>
      <c r="AE7" s="304">
        <f>SUM([1]ภ.9!$J$2:$J36)</f>
        <v>0</v>
      </c>
      <c r="AF7" s="304">
        <f>SUM([1]ภ.9!$K$2:$K36)</f>
        <v>0</v>
      </c>
      <c r="AG7" s="306">
        <f t="shared" si="10"/>
        <v>0</v>
      </c>
      <c r="AH7" s="305">
        <f>SUM([1]บช.ก.!$J$2:$J36)</f>
        <v>0</v>
      </c>
      <c r="AI7" s="305">
        <f>SUM([1]บช.ก.!$K$2:$K36)</f>
        <v>0</v>
      </c>
      <c r="AJ7" s="306">
        <f t="shared" si="11"/>
        <v>0</v>
      </c>
      <c r="AK7" s="304">
        <f>SUM([1]บช.สอท.!$J$2:$J36)</f>
        <v>2</v>
      </c>
      <c r="AL7" s="304">
        <f>SUM([1]บช.สอท.!$K$2:$K36)</f>
        <v>3</v>
      </c>
      <c r="AM7" s="306">
        <f t="shared" si="12"/>
        <v>10</v>
      </c>
      <c r="AN7" s="305">
        <f>SUM([1]บช.ปส.!$J$2:$J36)</f>
        <v>0</v>
      </c>
      <c r="AO7" s="305">
        <f>SUM([1]บช.ปส.!$K$2:$K36)</f>
        <v>0</v>
      </c>
      <c r="AP7" s="306">
        <f t="shared" si="13"/>
        <v>0</v>
      </c>
      <c r="AQ7" s="304">
        <f>SUM([1]สตม.!$J$2:$J36)</f>
        <v>0</v>
      </c>
      <c r="AR7" s="304">
        <f>SUM([1]สตม.!$K$2:$K36)</f>
        <v>0</v>
      </c>
      <c r="AS7" s="306">
        <f t="shared" si="14"/>
        <v>0</v>
      </c>
      <c r="AT7" s="305">
        <f>SUM([1]บช.ทท.!$J$2:$J36)</f>
        <v>0</v>
      </c>
      <c r="AU7" s="305">
        <f>SUM([1]บช.ทท.!$K$2:$K36)</f>
        <v>0</v>
      </c>
      <c r="AV7" s="306">
        <f t="shared" si="15"/>
        <v>0</v>
      </c>
      <c r="AW7" s="304">
        <f>SUM([1]บช.ตชด.!$J$2:$J36)</f>
        <v>0</v>
      </c>
      <c r="AX7" s="304">
        <f>SUM([1]บช.ตชด.!$K$2:$K36)</f>
        <v>0</v>
      </c>
      <c r="AY7" s="306">
        <f t="shared" si="16"/>
        <v>0</v>
      </c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  <c r="BP7" s="299"/>
      <c r="BQ7" s="299"/>
      <c r="BR7" s="299"/>
      <c r="BS7" s="299"/>
      <c r="BT7" s="299"/>
      <c r="BU7" s="299"/>
      <c r="BV7" s="299"/>
      <c r="BW7" s="299"/>
      <c r="BX7" s="299"/>
      <c r="BY7" s="299"/>
    </row>
    <row r="8" spans="1:77" ht="13.5" thickBot="1">
      <c r="A8" s="300" t="s">
        <v>87</v>
      </c>
      <c r="B8" s="326">
        <f t="shared" si="0"/>
        <v>16</v>
      </c>
      <c r="C8" s="327">
        <f t="shared" si="0"/>
        <v>16</v>
      </c>
      <c r="D8" s="301">
        <f>SUM([1]บช.น.!$L$2:$L36)</f>
        <v>1</v>
      </c>
      <c r="E8" s="302">
        <f>SUM([1]บช.น.!$M$2:$M36)</f>
        <v>1</v>
      </c>
      <c r="F8" s="303">
        <f t="shared" si="1"/>
        <v>5</v>
      </c>
      <c r="G8" s="304">
        <f>SUM([1]ภ.1!$L$2:$L36)</f>
        <v>3</v>
      </c>
      <c r="H8" s="304">
        <f>SUM([1]ภ.1!$M$2:$M36)</f>
        <v>3</v>
      </c>
      <c r="I8" s="304">
        <f t="shared" si="2"/>
        <v>15</v>
      </c>
      <c r="J8" s="305">
        <f>SUM([1]ภ.2!$L$2:$L36)</f>
        <v>1</v>
      </c>
      <c r="K8" s="305">
        <f>SUM([1]ภ.2!$M$2:$M36)</f>
        <v>1</v>
      </c>
      <c r="L8" s="307">
        <f t="shared" si="3"/>
        <v>5</v>
      </c>
      <c r="M8" s="304">
        <f>SUM([1]ภ.3!$L$2:$L36)</f>
        <v>0</v>
      </c>
      <c r="N8" s="304">
        <f>SUM([1]ภ.3!$M$2:$M36)</f>
        <v>0</v>
      </c>
      <c r="O8" s="307">
        <f t="shared" si="4"/>
        <v>0</v>
      </c>
      <c r="P8" s="305">
        <f>SUM([1]ภ.4!$L$2:$L36)</f>
        <v>4</v>
      </c>
      <c r="Q8" s="305">
        <f>SUM([1]ภ.4!$M$2:$M36)</f>
        <v>4</v>
      </c>
      <c r="R8" s="307">
        <f t="shared" si="5"/>
        <v>20</v>
      </c>
      <c r="S8" s="304">
        <f>SUM([1]ภ.5!$L$2:$L36)</f>
        <v>0</v>
      </c>
      <c r="T8" s="304">
        <f>SUM([1]ภ.5!$M$2:$M36)</f>
        <v>0</v>
      </c>
      <c r="U8" s="307">
        <f t="shared" si="6"/>
        <v>0</v>
      </c>
      <c r="V8" s="305">
        <f>SUM([1]ภ.6!$L$2:$L36)</f>
        <v>0</v>
      </c>
      <c r="W8" s="305">
        <f>SUM([1]ภ.6!$M$2:$M36)</f>
        <v>0</v>
      </c>
      <c r="X8" s="307">
        <f t="shared" si="7"/>
        <v>0</v>
      </c>
      <c r="Y8" s="304">
        <f>SUM([1]ภ.7!$L$2:$L36)</f>
        <v>1</v>
      </c>
      <c r="Z8" s="304">
        <f>SUM([1]ภ.7!$M$2:$M36)</f>
        <v>1</v>
      </c>
      <c r="AA8" s="307">
        <f t="shared" si="8"/>
        <v>5</v>
      </c>
      <c r="AB8" s="305">
        <f>SUM([1]ภ.8!$L$2:$L36)</f>
        <v>0</v>
      </c>
      <c r="AC8" s="305">
        <f>SUM([1]ภ.8!$M$2:$M36)</f>
        <v>0</v>
      </c>
      <c r="AD8" s="307">
        <f t="shared" si="9"/>
        <v>0</v>
      </c>
      <c r="AE8" s="304">
        <f>SUM([1]ภ.9!$L$2:$L36)</f>
        <v>0</v>
      </c>
      <c r="AF8" s="304">
        <f>SUM([1]ภ.9!$M$2:$M36)</f>
        <v>0</v>
      </c>
      <c r="AG8" s="307">
        <f t="shared" si="10"/>
        <v>0</v>
      </c>
      <c r="AH8" s="305">
        <f>SUM([1]บช.ก.!$L$2:$L36)</f>
        <v>0</v>
      </c>
      <c r="AI8" s="305">
        <f>SUM([1]บช.ก.!$M$2:$M36)</f>
        <v>0</v>
      </c>
      <c r="AJ8" s="307">
        <f t="shared" si="11"/>
        <v>0</v>
      </c>
      <c r="AK8" s="304">
        <f>SUM([1]บช.สอท.!$L$2:$L36)</f>
        <v>4</v>
      </c>
      <c r="AL8" s="304">
        <f>SUM([1]บช.สอท.!$M$2:$M36)</f>
        <v>4</v>
      </c>
      <c r="AM8" s="307">
        <f t="shared" si="12"/>
        <v>20</v>
      </c>
      <c r="AN8" s="305">
        <f>SUM([1]บช.ปส.!$L$2:$L36)</f>
        <v>0</v>
      </c>
      <c r="AO8" s="305">
        <f>SUM([1]บช.ปส.!$M$2:$M36)</f>
        <v>0</v>
      </c>
      <c r="AP8" s="307">
        <f t="shared" si="13"/>
        <v>0</v>
      </c>
      <c r="AQ8" s="304">
        <f>SUM([1]สตม.!$L$2:$L36)</f>
        <v>0</v>
      </c>
      <c r="AR8" s="304">
        <f>SUM([1]สตม.!$M$2:$M36)</f>
        <v>0</v>
      </c>
      <c r="AS8" s="307">
        <f t="shared" si="14"/>
        <v>0</v>
      </c>
      <c r="AT8" s="305">
        <f>SUM([1]บช.ทท.!$L$2:$L36)</f>
        <v>2</v>
      </c>
      <c r="AU8" s="305">
        <f>SUM([1]บช.ทท.!$M$2:$M36)</f>
        <v>2</v>
      </c>
      <c r="AV8" s="307">
        <f t="shared" si="15"/>
        <v>10</v>
      </c>
      <c r="AW8" s="304">
        <f>SUM([1]บช.ตชด.!$L$2:$L36)</f>
        <v>0</v>
      </c>
      <c r="AX8" s="304">
        <f>SUM([1]บช.ตชด.!$M$2:$M36)</f>
        <v>0</v>
      </c>
      <c r="AY8" s="307">
        <f t="shared" si="16"/>
        <v>0</v>
      </c>
      <c r="AZ8" s="299"/>
      <c r="BA8" s="299"/>
      <c r="BB8" s="299"/>
      <c r="BC8" s="299"/>
      <c r="BD8" s="299"/>
      <c r="BE8" s="299"/>
      <c r="BF8" s="299"/>
      <c r="BG8" s="299"/>
      <c r="BH8" s="299"/>
      <c r="BI8" s="299"/>
      <c r="BJ8" s="299"/>
      <c r="BK8" s="299"/>
      <c r="BL8" s="299"/>
      <c r="BM8" s="299"/>
      <c r="BN8" s="299"/>
      <c r="BO8" s="299"/>
      <c r="BP8" s="299"/>
      <c r="BQ8" s="299"/>
      <c r="BR8" s="299"/>
      <c r="BS8" s="299"/>
      <c r="BT8" s="299"/>
      <c r="BU8" s="299"/>
      <c r="BV8" s="299"/>
      <c r="BW8" s="299"/>
      <c r="BX8" s="299"/>
      <c r="BY8" s="299"/>
    </row>
    <row r="9" spans="1:77" s="319" customFormat="1" ht="13.5" thickBot="1">
      <c r="A9" s="337" t="s">
        <v>32</v>
      </c>
      <c r="B9" s="334">
        <f t="shared" ref="B9:AY9" si="17">SUM(B5:B8)</f>
        <v>25</v>
      </c>
      <c r="C9" s="335">
        <f t="shared" si="17"/>
        <v>25</v>
      </c>
      <c r="D9" s="260">
        <f t="shared" si="17"/>
        <v>3</v>
      </c>
      <c r="E9" s="318">
        <f t="shared" si="17"/>
        <v>3</v>
      </c>
      <c r="F9" s="261">
        <f t="shared" si="17"/>
        <v>15</v>
      </c>
      <c r="G9" s="288">
        <f t="shared" si="17"/>
        <v>4</v>
      </c>
      <c r="H9" s="288">
        <f t="shared" si="17"/>
        <v>4</v>
      </c>
      <c r="I9" s="288">
        <f t="shared" si="17"/>
        <v>20</v>
      </c>
      <c r="J9" s="288">
        <f t="shared" si="17"/>
        <v>1</v>
      </c>
      <c r="K9" s="288">
        <f t="shared" si="17"/>
        <v>1</v>
      </c>
      <c r="L9" s="290">
        <f t="shared" si="17"/>
        <v>5</v>
      </c>
      <c r="M9" s="288">
        <f t="shared" si="17"/>
        <v>0</v>
      </c>
      <c r="N9" s="288">
        <f t="shared" si="17"/>
        <v>0</v>
      </c>
      <c r="O9" s="290">
        <f t="shared" si="17"/>
        <v>0</v>
      </c>
      <c r="P9" s="288">
        <f t="shared" si="17"/>
        <v>5</v>
      </c>
      <c r="Q9" s="288">
        <f t="shared" si="17"/>
        <v>5</v>
      </c>
      <c r="R9" s="290">
        <f t="shared" si="17"/>
        <v>25</v>
      </c>
      <c r="S9" s="288">
        <f t="shared" si="17"/>
        <v>0</v>
      </c>
      <c r="T9" s="288">
        <f t="shared" si="17"/>
        <v>0</v>
      </c>
      <c r="U9" s="290">
        <f t="shared" si="17"/>
        <v>0</v>
      </c>
      <c r="V9" s="288">
        <f t="shared" si="17"/>
        <v>1</v>
      </c>
      <c r="W9" s="288">
        <f t="shared" si="17"/>
        <v>1</v>
      </c>
      <c r="X9" s="290">
        <f t="shared" si="17"/>
        <v>5</v>
      </c>
      <c r="Y9" s="288">
        <f t="shared" si="17"/>
        <v>1</v>
      </c>
      <c r="Z9" s="288">
        <f t="shared" si="17"/>
        <v>1</v>
      </c>
      <c r="AA9" s="290">
        <f t="shared" si="17"/>
        <v>5</v>
      </c>
      <c r="AB9" s="288">
        <f t="shared" si="17"/>
        <v>0</v>
      </c>
      <c r="AC9" s="288">
        <f t="shared" si="17"/>
        <v>0</v>
      </c>
      <c r="AD9" s="290">
        <f t="shared" si="17"/>
        <v>0</v>
      </c>
      <c r="AE9" s="288">
        <f t="shared" si="17"/>
        <v>2</v>
      </c>
      <c r="AF9" s="288">
        <f t="shared" si="17"/>
        <v>1</v>
      </c>
      <c r="AG9" s="290">
        <f t="shared" si="17"/>
        <v>10</v>
      </c>
      <c r="AH9" s="288">
        <f t="shared" si="17"/>
        <v>0</v>
      </c>
      <c r="AI9" s="288">
        <f t="shared" si="17"/>
        <v>0</v>
      </c>
      <c r="AJ9" s="290">
        <f t="shared" si="17"/>
        <v>0</v>
      </c>
      <c r="AK9" s="288">
        <f t="shared" si="17"/>
        <v>6</v>
      </c>
      <c r="AL9" s="288">
        <f t="shared" si="17"/>
        <v>7</v>
      </c>
      <c r="AM9" s="290">
        <f t="shared" si="17"/>
        <v>30</v>
      </c>
      <c r="AN9" s="288">
        <f t="shared" si="17"/>
        <v>0</v>
      </c>
      <c r="AO9" s="288">
        <f t="shared" si="17"/>
        <v>0</v>
      </c>
      <c r="AP9" s="290">
        <f t="shared" si="17"/>
        <v>0</v>
      </c>
      <c r="AQ9" s="288">
        <f t="shared" si="17"/>
        <v>0</v>
      </c>
      <c r="AR9" s="288">
        <f t="shared" si="17"/>
        <v>0</v>
      </c>
      <c r="AS9" s="290">
        <f t="shared" si="17"/>
        <v>0</v>
      </c>
      <c r="AT9" s="288">
        <f t="shared" si="17"/>
        <v>2</v>
      </c>
      <c r="AU9" s="288">
        <f t="shared" si="17"/>
        <v>2</v>
      </c>
      <c r="AV9" s="290">
        <f t="shared" si="17"/>
        <v>10</v>
      </c>
      <c r="AW9" s="288">
        <f t="shared" si="17"/>
        <v>0</v>
      </c>
      <c r="AX9" s="288">
        <f t="shared" si="17"/>
        <v>0</v>
      </c>
      <c r="AY9" s="290">
        <f t="shared" si="17"/>
        <v>0</v>
      </c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</row>
    <row r="10" spans="1:77" ht="13.5" thickBot="1">
      <c r="A10" s="309" t="s">
        <v>88</v>
      </c>
      <c r="B10" s="328"/>
      <c r="C10" s="329"/>
      <c r="D10" s="310"/>
      <c r="E10" s="311"/>
      <c r="F10" s="312"/>
      <c r="G10" s="313"/>
      <c r="H10" s="313"/>
      <c r="I10" s="286"/>
      <c r="J10" s="288"/>
      <c r="K10" s="288"/>
      <c r="L10" s="298"/>
      <c r="M10" s="313"/>
      <c r="N10" s="313"/>
      <c r="O10" s="298"/>
      <c r="P10" s="288"/>
      <c r="Q10" s="288"/>
      <c r="R10" s="298"/>
      <c r="S10" s="313"/>
      <c r="T10" s="313"/>
      <c r="U10" s="298"/>
      <c r="V10" s="288"/>
      <c r="W10" s="288"/>
      <c r="X10" s="298"/>
      <c r="Y10" s="313"/>
      <c r="Z10" s="313"/>
      <c r="AA10" s="298"/>
      <c r="AB10" s="288"/>
      <c r="AC10" s="288"/>
      <c r="AD10" s="298"/>
      <c r="AE10" s="313"/>
      <c r="AF10" s="313"/>
      <c r="AG10" s="298"/>
      <c r="AH10" s="288"/>
      <c r="AI10" s="288"/>
      <c r="AJ10" s="298"/>
      <c r="AK10" s="313"/>
      <c r="AL10" s="313"/>
      <c r="AM10" s="298"/>
      <c r="AN10" s="288"/>
      <c r="AO10" s="288"/>
      <c r="AP10" s="298"/>
      <c r="AQ10" s="313"/>
      <c r="AR10" s="313"/>
      <c r="AS10" s="298"/>
      <c r="AT10" s="288"/>
      <c r="AU10" s="288"/>
      <c r="AV10" s="298"/>
      <c r="AW10" s="313"/>
      <c r="AX10" s="313"/>
      <c r="AY10" s="298"/>
      <c r="AZ10" s="308"/>
      <c r="BA10" s="308"/>
      <c r="BB10" s="308"/>
      <c r="BC10" s="308"/>
      <c r="BD10" s="308"/>
      <c r="BE10" s="308"/>
      <c r="BF10" s="308"/>
      <c r="BG10" s="308"/>
      <c r="BH10" s="308"/>
      <c r="BI10" s="308"/>
      <c r="BJ10" s="308"/>
      <c r="BK10" s="308"/>
      <c r="BL10" s="308"/>
      <c r="BM10" s="308"/>
      <c r="BN10" s="308"/>
      <c r="BO10" s="308"/>
      <c r="BP10" s="308"/>
      <c r="BQ10" s="308"/>
      <c r="BR10" s="308"/>
      <c r="BS10" s="308"/>
      <c r="BT10" s="308"/>
      <c r="BU10" s="308"/>
      <c r="BV10" s="308"/>
      <c r="BW10" s="308"/>
      <c r="BX10" s="308"/>
      <c r="BY10" s="308"/>
    </row>
    <row r="11" spans="1:77" ht="13.5" thickBot="1">
      <c r="A11" s="314" t="s">
        <v>89</v>
      </c>
      <c r="B11" s="330">
        <f t="shared" ref="B11:C16" si="18">D11+G11+J11+M11+P11+S11+V11+Y11+AB11+AE11+AH11+AK11+AN11+AQ11+AT11+AW11</f>
        <v>46</v>
      </c>
      <c r="C11" s="331">
        <f t="shared" si="18"/>
        <v>43</v>
      </c>
      <c r="D11" s="301">
        <f>SUM([1]บช.น.!$N$2:$N36)</f>
        <v>6</v>
      </c>
      <c r="E11" s="302">
        <f>SUM([1]บช.น.!$O$2:$O36)</f>
        <v>6</v>
      </c>
      <c r="F11" s="303">
        <f>D11*5</f>
        <v>30</v>
      </c>
      <c r="G11" s="315">
        <f>SUM([1]ภ.1!$N$2:$N36)</f>
        <v>0</v>
      </c>
      <c r="H11" s="315">
        <f>SUM([1]ภ.1!$O$2:$O36)</f>
        <v>0</v>
      </c>
      <c r="I11" s="304">
        <f>G11*5</f>
        <v>0</v>
      </c>
      <c r="J11" s="305">
        <f>SUM([1]ภ.2!$N$2:$N36)</f>
        <v>0</v>
      </c>
      <c r="K11" s="305">
        <f>SUM([1]ภ.2!$O$2:$O36)</f>
        <v>0</v>
      </c>
      <c r="L11" s="306">
        <f>J11*5</f>
        <v>0</v>
      </c>
      <c r="M11" s="315">
        <f>SUM([1]ภ.3!$N$2:$N36)</f>
        <v>0</v>
      </c>
      <c r="N11" s="315">
        <f>SUM([1]ภ.3!$O$2:$O36)</f>
        <v>0</v>
      </c>
      <c r="O11" s="306">
        <f>M11*5</f>
        <v>0</v>
      </c>
      <c r="P11" s="305">
        <f>SUM([1]ภ.4!$N$2:$N36)</f>
        <v>12</v>
      </c>
      <c r="Q11" s="305">
        <f>SUM([1]ภ.4!$O$2:$O36)</f>
        <v>12</v>
      </c>
      <c r="R11" s="306">
        <f>P11*5</f>
        <v>60</v>
      </c>
      <c r="S11" s="315">
        <f>SUM([1]ภ.5!$N$2:$N36)</f>
        <v>0</v>
      </c>
      <c r="T11" s="315">
        <f>SUM([1]ภ.5!$O$2:$O36)</f>
        <v>0</v>
      </c>
      <c r="U11" s="306">
        <f>S11*5</f>
        <v>0</v>
      </c>
      <c r="V11" s="305">
        <f>SUM([1]ภ.6!$N$2:$N36)</f>
        <v>1</v>
      </c>
      <c r="W11" s="305">
        <f>SUM([1]ภ.6!$O$2:$O36)</f>
        <v>0</v>
      </c>
      <c r="X11" s="306">
        <f>V11*5</f>
        <v>5</v>
      </c>
      <c r="Y11" s="315">
        <f>SUM([1]ภ.7!$N$2:$N36)</f>
        <v>0</v>
      </c>
      <c r="Z11" s="315">
        <f>SUM([1]ภ.7!$O$2:$O36)</f>
        <v>0</v>
      </c>
      <c r="AA11" s="306">
        <f>Y11*5</f>
        <v>0</v>
      </c>
      <c r="AB11" s="305">
        <f>SUM([1]ภ.8!$N$2:$N36)</f>
        <v>1</v>
      </c>
      <c r="AC11" s="305">
        <f>SUM([1]ภ.8!$O$2:$O36)</f>
        <v>1</v>
      </c>
      <c r="AD11" s="306">
        <f>AB11*5</f>
        <v>5</v>
      </c>
      <c r="AE11" s="315">
        <f>SUM([1]ภ.9!$N$2:$N36)</f>
        <v>11</v>
      </c>
      <c r="AF11" s="315">
        <f>SUM([1]ภ.9!$O$2:$O36)</f>
        <v>11</v>
      </c>
      <c r="AG11" s="306">
        <f>AE11*5</f>
        <v>55</v>
      </c>
      <c r="AH11" s="305">
        <f>SUM([1]บช.ก.!$N$2:$N36)</f>
        <v>10</v>
      </c>
      <c r="AI11" s="305">
        <f>SUM([1]บช.ก.!$O$2:$O36)</f>
        <v>9</v>
      </c>
      <c r="AJ11" s="306">
        <f>AH11*5</f>
        <v>50</v>
      </c>
      <c r="AK11" s="315">
        <f>SUM([1]บช.สอท.!$N$2:$N36)</f>
        <v>0</v>
      </c>
      <c r="AL11" s="315">
        <f>SUM([1]บช.สอท.!$O$2:$O36)</f>
        <v>0</v>
      </c>
      <c r="AM11" s="306">
        <f>AK11*5</f>
        <v>0</v>
      </c>
      <c r="AN11" s="305">
        <f>SUM([1]บช.ปส.!$N$2:$N36)</f>
        <v>4</v>
      </c>
      <c r="AO11" s="305">
        <f>SUM([1]บช.ปส.!$O$2:$O36)</f>
        <v>3</v>
      </c>
      <c r="AP11" s="306">
        <f>AN11*5</f>
        <v>20</v>
      </c>
      <c r="AQ11" s="315">
        <f>SUM([1]สตม.!$N$2:$N36)</f>
        <v>1</v>
      </c>
      <c r="AR11" s="315">
        <f>SUM([1]สตม.!$O$2:$O36)</f>
        <v>1</v>
      </c>
      <c r="AS11" s="306">
        <f>AQ11*5</f>
        <v>5</v>
      </c>
      <c r="AT11" s="305">
        <f>SUM([1]บช.ทท.!$N$2:$N36)</f>
        <v>0</v>
      </c>
      <c r="AU11" s="305">
        <f>SUM([1]บช.ทท.!$O$2:$O36)</f>
        <v>0</v>
      </c>
      <c r="AV11" s="306">
        <f>AT11*5</f>
        <v>0</v>
      </c>
      <c r="AW11" s="315">
        <f>SUM([1]บช.ตชด.!$N$2:$N36)</f>
        <v>0</v>
      </c>
      <c r="AX11" s="315">
        <f>SUM([1]บช.ตชด.!$O$2:$O36)</f>
        <v>0</v>
      </c>
      <c r="AY11" s="306">
        <f>AW11*5</f>
        <v>0</v>
      </c>
      <c r="AZ11" s="299"/>
      <c r="BA11" s="299"/>
      <c r="BB11" s="299"/>
      <c r="BC11" s="299"/>
      <c r="BD11" s="299"/>
      <c r="BE11" s="299"/>
      <c r="BF11" s="299"/>
      <c r="BG11" s="299"/>
      <c r="BH11" s="299"/>
      <c r="BI11" s="299"/>
      <c r="BJ11" s="299"/>
      <c r="BK11" s="299"/>
      <c r="BL11" s="299"/>
      <c r="BM11" s="299"/>
      <c r="BN11" s="299"/>
      <c r="BO11" s="299"/>
      <c r="BP11" s="299"/>
      <c r="BQ11" s="299"/>
      <c r="BR11" s="299"/>
      <c r="BS11" s="299"/>
      <c r="BT11" s="299"/>
      <c r="BU11" s="299"/>
      <c r="BV11" s="299"/>
      <c r="BW11" s="299"/>
      <c r="BX11" s="299"/>
      <c r="BY11" s="299"/>
    </row>
    <row r="12" spans="1:77" ht="13.5" thickBot="1">
      <c r="A12" s="314" t="s">
        <v>90</v>
      </c>
      <c r="B12" s="330">
        <f t="shared" si="18"/>
        <v>16</v>
      </c>
      <c r="C12" s="331">
        <f t="shared" si="18"/>
        <v>16</v>
      </c>
      <c r="D12" s="301">
        <f>SUM([1]บช.น.!$P2:$P36)</f>
        <v>6</v>
      </c>
      <c r="E12" s="302">
        <f>SUM([1]บช.น.!$Q$2:$Q36)</f>
        <v>7</v>
      </c>
      <c r="F12" s="303">
        <f>D12*2</f>
        <v>12</v>
      </c>
      <c r="G12" s="315">
        <f>SUM([1]ภ.1!$P2:$P36)</f>
        <v>0</v>
      </c>
      <c r="H12" s="315">
        <f>SUM([1]ภ.1!$Q$2:$Q36)</f>
        <v>0</v>
      </c>
      <c r="I12" s="304">
        <f>G12*2</f>
        <v>0</v>
      </c>
      <c r="J12" s="305">
        <f>SUM([1]ภ.2!$P2:$P36)</f>
        <v>0</v>
      </c>
      <c r="K12" s="305">
        <f>SUM([1]ภ.2!$Q$2:$Q36)</f>
        <v>0</v>
      </c>
      <c r="L12" s="307">
        <f>J12*2</f>
        <v>0</v>
      </c>
      <c r="M12" s="315">
        <f>SUM([1]ภ.3!$P2:$P36)</f>
        <v>0</v>
      </c>
      <c r="N12" s="315">
        <f>SUM([1]ภ.3!$Q$2:$Q36)</f>
        <v>0</v>
      </c>
      <c r="O12" s="307">
        <f>M12*2</f>
        <v>0</v>
      </c>
      <c r="P12" s="305">
        <f>SUM([1]ภ.4!$P2:$P36)</f>
        <v>1</v>
      </c>
      <c r="Q12" s="305">
        <f>SUM([1]ภ.4!$Q$2:$Q36)</f>
        <v>1</v>
      </c>
      <c r="R12" s="307">
        <f>P12*2</f>
        <v>2</v>
      </c>
      <c r="S12" s="315">
        <f>SUM([1]ภ.5!$P2:$P36)</f>
        <v>0</v>
      </c>
      <c r="T12" s="315">
        <f>SUM([1]ภ.5!$Q$2:$Q36)</f>
        <v>0</v>
      </c>
      <c r="U12" s="307">
        <f>S12*2</f>
        <v>0</v>
      </c>
      <c r="V12" s="305">
        <f>SUM([1]ภ.6!$P2:$P36)</f>
        <v>1</v>
      </c>
      <c r="W12" s="305">
        <f>SUM([1]ภ.6!$Q$2:$Q36)</f>
        <v>1</v>
      </c>
      <c r="X12" s="307">
        <f>V12*2</f>
        <v>2</v>
      </c>
      <c r="Y12" s="315">
        <f>SUM([1]ภ.7!$P2:$P36)</f>
        <v>0</v>
      </c>
      <c r="Z12" s="315">
        <f>SUM([1]ภ.7!$Q$2:$Q36)</f>
        <v>0</v>
      </c>
      <c r="AA12" s="307">
        <f>Y12*2</f>
        <v>0</v>
      </c>
      <c r="AB12" s="305">
        <f>SUM([1]ภ.8!$P2:$P36)</f>
        <v>0</v>
      </c>
      <c r="AC12" s="305">
        <f>SUM([1]ภ.8!$Q$2:$Q36)</f>
        <v>0</v>
      </c>
      <c r="AD12" s="307">
        <f>AB12*2</f>
        <v>0</v>
      </c>
      <c r="AE12" s="315">
        <f>SUM([1]ภ.9!$P2:$P36)</f>
        <v>2</v>
      </c>
      <c r="AF12" s="315">
        <f>SUM([1]ภ.9!$Q$2:$Q36)</f>
        <v>1</v>
      </c>
      <c r="AG12" s="307">
        <f>AE12*2</f>
        <v>4</v>
      </c>
      <c r="AH12" s="305">
        <f>SUM([1]บช.ก.!$P2:$P36)</f>
        <v>0</v>
      </c>
      <c r="AI12" s="305">
        <f>SUM([1]บช.ก.!$Q$2:$Q36)</f>
        <v>0</v>
      </c>
      <c r="AJ12" s="307">
        <f>AH12*2</f>
        <v>0</v>
      </c>
      <c r="AK12" s="315">
        <f>SUM([1]บช.สอท.!$P2:$P36)</f>
        <v>5</v>
      </c>
      <c r="AL12" s="315">
        <f>SUM([1]บช.สอท.!$Q$2:$Q36)</f>
        <v>5</v>
      </c>
      <c r="AM12" s="307">
        <f>AK12*2</f>
        <v>10</v>
      </c>
      <c r="AN12" s="305">
        <f>SUM([1]บช.ปส.!$P2:$P36)</f>
        <v>0</v>
      </c>
      <c r="AO12" s="305">
        <f>SUM([1]บช.ปส.!$Q$2:$Q36)</f>
        <v>0</v>
      </c>
      <c r="AP12" s="307">
        <f>AN12*2</f>
        <v>0</v>
      </c>
      <c r="AQ12" s="315">
        <f>SUM([1]สตม.!$P2:$P36)</f>
        <v>1</v>
      </c>
      <c r="AR12" s="315">
        <f>SUM([1]สตม.!$Q$2:$Q36)</f>
        <v>1</v>
      </c>
      <c r="AS12" s="307">
        <f>AQ12*2</f>
        <v>2</v>
      </c>
      <c r="AT12" s="305">
        <f>SUM([1]บช.ทท.!$P2:$P36)</f>
        <v>0</v>
      </c>
      <c r="AU12" s="305">
        <f>SUM([1]บช.ทท.!$Q$2:$Q36)</f>
        <v>0</v>
      </c>
      <c r="AV12" s="307">
        <f>AT12*2</f>
        <v>0</v>
      </c>
      <c r="AW12" s="315">
        <f>SUM([1]บช.ตชด.!$P2:$P36)</f>
        <v>0</v>
      </c>
      <c r="AX12" s="315">
        <f>SUM([1]บช.ตชด.!$Q$2:$Q36)</f>
        <v>0</v>
      </c>
      <c r="AY12" s="307">
        <f>AW12*2</f>
        <v>0</v>
      </c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299"/>
      <c r="BO12" s="299"/>
      <c r="BP12" s="299"/>
      <c r="BQ12" s="299"/>
      <c r="BR12" s="299"/>
      <c r="BS12" s="299"/>
      <c r="BT12" s="299"/>
      <c r="BU12" s="299"/>
      <c r="BV12" s="299"/>
      <c r="BW12" s="299"/>
      <c r="BX12" s="299"/>
      <c r="BY12" s="299"/>
    </row>
    <row r="13" spans="1:77" ht="13.5" thickBot="1">
      <c r="A13" s="314" t="s">
        <v>91</v>
      </c>
      <c r="B13" s="330">
        <f t="shared" si="18"/>
        <v>29</v>
      </c>
      <c r="C13" s="331">
        <f t="shared" si="18"/>
        <v>30</v>
      </c>
      <c r="D13" s="301">
        <f>SUM([1]บช.น.!$R2:$R36)</f>
        <v>0</v>
      </c>
      <c r="E13" s="302">
        <f>SUM([1]บช.น.!$S2:$S36)</f>
        <v>0</v>
      </c>
      <c r="F13" s="303">
        <f>D13*4</f>
        <v>0</v>
      </c>
      <c r="G13" s="315">
        <f>SUM([1]ภ.1!$R2:$R36)</f>
        <v>7</v>
      </c>
      <c r="H13" s="315">
        <f>SUM([1]ภ.1!$S2:$S36)</f>
        <v>7</v>
      </c>
      <c r="I13" s="304">
        <f>G13*4</f>
        <v>28</v>
      </c>
      <c r="J13" s="305">
        <f>SUM([1]ภ.2!$R2:$R36)</f>
        <v>3</v>
      </c>
      <c r="K13" s="305">
        <f>SUM([1]ภ.2!$S2:$S36)</f>
        <v>4</v>
      </c>
      <c r="L13" s="306">
        <f>J13*4</f>
        <v>12</v>
      </c>
      <c r="M13" s="315">
        <f>SUM([1]ภ.3!$R2:$R36)</f>
        <v>1</v>
      </c>
      <c r="N13" s="315">
        <f>SUM([1]ภ.3!$S2:$S36)</f>
        <v>1</v>
      </c>
      <c r="O13" s="306">
        <f>M13*4</f>
        <v>4</v>
      </c>
      <c r="P13" s="305">
        <f>SUM([1]ภ.4!$R2:$R36)</f>
        <v>2</v>
      </c>
      <c r="Q13" s="305">
        <f>SUM([1]ภ.4!$S2:$S36)</f>
        <v>2</v>
      </c>
      <c r="R13" s="306">
        <f>P13*4</f>
        <v>8</v>
      </c>
      <c r="S13" s="315">
        <f>SUM([1]ภ.5!$R2:$R36)</f>
        <v>6</v>
      </c>
      <c r="T13" s="315">
        <f>SUM([1]ภ.5!$S2:$S36)</f>
        <v>6</v>
      </c>
      <c r="U13" s="306">
        <f>S13*4</f>
        <v>24</v>
      </c>
      <c r="V13" s="305">
        <f>SUM([1]ภ.6!$R2:$R36)</f>
        <v>1</v>
      </c>
      <c r="W13" s="305">
        <f>SUM([1]ภ.6!$S2:$S36)</f>
        <v>1</v>
      </c>
      <c r="X13" s="306">
        <f>V13*4</f>
        <v>4</v>
      </c>
      <c r="Y13" s="315">
        <f>SUM([1]ภ.7!$R2:$R36)</f>
        <v>2</v>
      </c>
      <c r="Z13" s="315">
        <f>SUM([1]ภ.7!$S2:$S36)</f>
        <v>2</v>
      </c>
      <c r="AA13" s="306">
        <f>Y13*4</f>
        <v>8</v>
      </c>
      <c r="AB13" s="305">
        <f>SUM([1]ภ.8!$R2:$R36)</f>
        <v>0</v>
      </c>
      <c r="AC13" s="305">
        <f>SUM([1]ภ.8!$S2:$S36)</f>
        <v>0</v>
      </c>
      <c r="AD13" s="306">
        <f>AB13*4</f>
        <v>0</v>
      </c>
      <c r="AE13" s="315">
        <f>SUM([1]ภ.9!$R2:$R36)</f>
        <v>0</v>
      </c>
      <c r="AF13" s="315">
        <f>SUM([1]ภ.9!$S2:$S36)</f>
        <v>0</v>
      </c>
      <c r="AG13" s="306">
        <f>AE13*4</f>
        <v>0</v>
      </c>
      <c r="AH13" s="305">
        <f>SUM([1]บช.ก.!$R2:$R36)</f>
        <v>3</v>
      </c>
      <c r="AI13" s="305">
        <f>SUM([1]บช.ก.!$S2:$S36)</f>
        <v>3</v>
      </c>
      <c r="AJ13" s="306">
        <f>AH13*4</f>
        <v>12</v>
      </c>
      <c r="AK13" s="315">
        <f>SUM([1]บช.สอท.!$R2:$R36)</f>
        <v>4</v>
      </c>
      <c r="AL13" s="315">
        <f>SUM([1]บช.สอท.!$S2:$S36)</f>
        <v>4</v>
      </c>
      <c r="AM13" s="306">
        <f>AK13*4</f>
        <v>16</v>
      </c>
      <c r="AN13" s="305">
        <f>SUM([1]บช.ปส.!$R2:$R36)</f>
        <v>0</v>
      </c>
      <c r="AO13" s="305">
        <f>SUM([1]บช.ปส.!$S2:$S36)</f>
        <v>0</v>
      </c>
      <c r="AP13" s="306">
        <f>AN13*4</f>
        <v>0</v>
      </c>
      <c r="AQ13" s="315">
        <f>SUM([1]สตม.!$R2:$R36)</f>
        <v>0</v>
      </c>
      <c r="AR13" s="315">
        <f>SUM([1]สตม.!$S2:$S36)</f>
        <v>0</v>
      </c>
      <c r="AS13" s="306">
        <f>AQ13*4</f>
        <v>0</v>
      </c>
      <c r="AT13" s="305">
        <f>SUM([1]บช.ทท.!$R2:$R36)</f>
        <v>0</v>
      </c>
      <c r="AU13" s="305">
        <f>SUM([1]บช.ทท.!$S2:$S36)</f>
        <v>0</v>
      </c>
      <c r="AV13" s="306">
        <f>AT13*4</f>
        <v>0</v>
      </c>
      <c r="AW13" s="315">
        <f>SUM([1]บช.ตชด.!$R2:$R36)</f>
        <v>0</v>
      </c>
      <c r="AX13" s="315">
        <f>SUM([1]บช.ตชด.!$S2:$S36)</f>
        <v>0</v>
      </c>
      <c r="AY13" s="306">
        <f>AW13*4</f>
        <v>0</v>
      </c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299"/>
      <c r="BO13" s="299"/>
      <c r="BP13" s="299"/>
      <c r="BQ13" s="299"/>
      <c r="BR13" s="299"/>
      <c r="BS13" s="299"/>
      <c r="BT13" s="299"/>
      <c r="BU13" s="299"/>
      <c r="BV13" s="299"/>
      <c r="BW13" s="299"/>
      <c r="BX13" s="299"/>
      <c r="BY13" s="299"/>
    </row>
    <row r="14" spans="1:77" ht="13.5" thickBot="1">
      <c r="A14" s="314" t="s">
        <v>92</v>
      </c>
      <c r="B14" s="330">
        <f t="shared" si="18"/>
        <v>4</v>
      </c>
      <c r="C14" s="331">
        <f t="shared" si="18"/>
        <v>5</v>
      </c>
      <c r="D14" s="301">
        <f>SUM([1]บช.น.!$T2:$T36)</f>
        <v>0</v>
      </c>
      <c r="E14" s="302">
        <f>SUM([1]บช.น.!$U2:$U36)</f>
        <v>0</v>
      </c>
      <c r="F14" s="303">
        <f t="shared" ref="F14:F16" si="19">D14*3</f>
        <v>0</v>
      </c>
      <c r="G14" s="315">
        <f>SUM([1]ภ.1!$T2:$T36)</f>
        <v>0</v>
      </c>
      <c r="H14" s="315">
        <f>SUM([1]ภ.1!$U2:$U36)</f>
        <v>0</v>
      </c>
      <c r="I14" s="304">
        <f t="shared" ref="I14:I16" si="20">G14*3</f>
        <v>0</v>
      </c>
      <c r="J14" s="305">
        <f>SUM([1]ภ.2!$T2:$T36)</f>
        <v>0</v>
      </c>
      <c r="K14" s="305">
        <f>SUM([1]ภ.2!$U2:$U36)</f>
        <v>0</v>
      </c>
      <c r="L14" s="307">
        <f t="shared" ref="L14:L16" si="21">J14*3</f>
        <v>0</v>
      </c>
      <c r="M14" s="315">
        <f>SUM([1]ภ.3!$T2:$T36)</f>
        <v>0</v>
      </c>
      <c r="N14" s="315">
        <f>SUM([1]ภ.3!$U2:$U36)</f>
        <v>0</v>
      </c>
      <c r="O14" s="307">
        <f t="shared" ref="O14:O16" si="22">M14*3</f>
        <v>0</v>
      </c>
      <c r="P14" s="305">
        <f>SUM([1]ภ.4!$T2:$T36)</f>
        <v>1</v>
      </c>
      <c r="Q14" s="305">
        <f>SUM([1]ภ.4!$U2:$U36)</f>
        <v>1</v>
      </c>
      <c r="R14" s="307">
        <f t="shared" ref="R14:R16" si="23">P14*3</f>
        <v>3</v>
      </c>
      <c r="S14" s="315">
        <f>SUM([1]ภ.5!$T2:$T36)</f>
        <v>0</v>
      </c>
      <c r="T14" s="315">
        <f>SUM([1]ภ.5!$U2:$U36)</f>
        <v>0</v>
      </c>
      <c r="U14" s="307">
        <f t="shared" ref="U14:U16" si="24">S14*3</f>
        <v>0</v>
      </c>
      <c r="V14" s="305">
        <f>SUM([1]ภ.6!$T2:$T36)</f>
        <v>0</v>
      </c>
      <c r="W14" s="305">
        <f>SUM([1]ภ.6!$U2:$U36)</f>
        <v>0</v>
      </c>
      <c r="X14" s="307">
        <f t="shared" ref="X14:X16" si="25">V14*3</f>
        <v>0</v>
      </c>
      <c r="Y14" s="315">
        <f>SUM([1]ภ.7!$T2:$T36)</f>
        <v>1</v>
      </c>
      <c r="Z14" s="315">
        <f>SUM([1]ภ.7!$U2:$U36)</f>
        <v>2</v>
      </c>
      <c r="AA14" s="307">
        <f t="shared" ref="AA14:AA16" si="26">Y14*3</f>
        <v>3</v>
      </c>
      <c r="AB14" s="305">
        <f>SUM([1]ภ.8!$T2:$T36)</f>
        <v>0</v>
      </c>
      <c r="AC14" s="305">
        <f>SUM([1]ภ.8!$U2:$U36)</f>
        <v>0</v>
      </c>
      <c r="AD14" s="307">
        <f t="shared" ref="AD14:AD16" si="27">AB14*3</f>
        <v>0</v>
      </c>
      <c r="AE14" s="315">
        <f>SUM([1]ภ.9!$T2:$T36)</f>
        <v>0</v>
      </c>
      <c r="AF14" s="315">
        <f>SUM([1]ภ.9!$U2:$U36)</f>
        <v>0</v>
      </c>
      <c r="AG14" s="307">
        <f t="shared" ref="AG14:AG16" si="28">AE14*3</f>
        <v>0</v>
      </c>
      <c r="AH14" s="305">
        <f>SUM([1]บช.ก.!$T2:$T36)</f>
        <v>0</v>
      </c>
      <c r="AI14" s="305">
        <f>SUM([1]บช.ก.!$U2:$U36)</f>
        <v>0</v>
      </c>
      <c r="AJ14" s="307">
        <f t="shared" ref="AJ14:AJ16" si="29">AH14*3</f>
        <v>0</v>
      </c>
      <c r="AK14" s="315">
        <f>SUM([1]บช.สอท.!$T2:$T36)</f>
        <v>2</v>
      </c>
      <c r="AL14" s="315">
        <f>SUM([1]บช.สอท.!$U2:$U36)</f>
        <v>2</v>
      </c>
      <c r="AM14" s="307">
        <f t="shared" ref="AM14:AM16" si="30">AK14*3</f>
        <v>6</v>
      </c>
      <c r="AN14" s="305">
        <f>SUM([1]บช.ปส.!$T2:$T36)</f>
        <v>0</v>
      </c>
      <c r="AO14" s="305">
        <f>SUM([1]บช.ปส.!$U2:$U36)</f>
        <v>0</v>
      </c>
      <c r="AP14" s="307">
        <f t="shared" ref="AP14:AP16" si="31">AN14*3</f>
        <v>0</v>
      </c>
      <c r="AQ14" s="315">
        <f>SUM([1]สตม.!$T2:$T36)</f>
        <v>0</v>
      </c>
      <c r="AR14" s="315">
        <f>SUM([1]สตม.!$U2:$U36)</f>
        <v>0</v>
      </c>
      <c r="AS14" s="307">
        <f t="shared" ref="AS14:AS16" si="32">AQ14*3</f>
        <v>0</v>
      </c>
      <c r="AT14" s="305">
        <f>SUM([1]บช.ทท.!$T2:$T36)</f>
        <v>0</v>
      </c>
      <c r="AU14" s="305">
        <f>SUM([1]บช.ทท.!$U2:$U36)</f>
        <v>0</v>
      </c>
      <c r="AV14" s="307">
        <f t="shared" ref="AV14:AV16" si="33">AT14*3</f>
        <v>0</v>
      </c>
      <c r="AW14" s="315">
        <f>SUM([1]บช.ตชด.!$T2:$T36)</f>
        <v>0</v>
      </c>
      <c r="AX14" s="315">
        <f>SUM([1]บช.ตชด.!$U2:$U36)</f>
        <v>0</v>
      </c>
      <c r="AY14" s="307">
        <f t="shared" ref="AY14:AY16" si="34">AW14*3</f>
        <v>0</v>
      </c>
      <c r="AZ14" s="299"/>
      <c r="BA14" s="299"/>
      <c r="BB14" s="299"/>
      <c r="BC14" s="299"/>
      <c r="BD14" s="299"/>
      <c r="BE14" s="299"/>
      <c r="BF14" s="299"/>
      <c r="BG14" s="299"/>
      <c r="BH14" s="299"/>
      <c r="BI14" s="299"/>
      <c r="BJ14" s="299"/>
      <c r="BK14" s="299"/>
      <c r="BL14" s="299"/>
      <c r="BM14" s="299"/>
      <c r="BN14" s="299"/>
      <c r="BO14" s="299"/>
      <c r="BP14" s="299"/>
      <c r="BQ14" s="299"/>
      <c r="BR14" s="299"/>
      <c r="BS14" s="299"/>
      <c r="BT14" s="299"/>
      <c r="BU14" s="299"/>
      <c r="BV14" s="299"/>
      <c r="BW14" s="299"/>
      <c r="BX14" s="299"/>
      <c r="BY14" s="299"/>
    </row>
    <row r="15" spans="1:77" ht="13.5" thickBot="1">
      <c r="A15" s="314" t="s">
        <v>93</v>
      </c>
      <c r="B15" s="330">
        <f t="shared" si="18"/>
        <v>3</v>
      </c>
      <c r="C15" s="331">
        <f t="shared" si="18"/>
        <v>3</v>
      </c>
      <c r="D15" s="301">
        <f>SUM([1]บช.น.!$V2:$V36)</f>
        <v>0</v>
      </c>
      <c r="E15" s="302">
        <f>SUM([1]บช.น.!$W$2:$W36)</f>
        <v>0</v>
      </c>
      <c r="F15" s="303">
        <f t="shared" si="19"/>
        <v>0</v>
      </c>
      <c r="G15" s="315">
        <f>SUM([1]ภ.1!$V2:$V36)</f>
        <v>0</v>
      </c>
      <c r="H15" s="315">
        <f>SUM([1]ภ.1!$W$2:$W36)</f>
        <v>0</v>
      </c>
      <c r="I15" s="304">
        <f t="shared" si="20"/>
        <v>0</v>
      </c>
      <c r="J15" s="305">
        <f>SUM([1]ภ.2!$V2:$V36)</f>
        <v>0</v>
      </c>
      <c r="K15" s="305">
        <f>SUM([1]ภ.2!$W$2:$W36)</f>
        <v>0</v>
      </c>
      <c r="L15" s="306">
        <f t="shared" si="21"/>
        <v>0</v>
      </c>
      <c r="M15" s="315">
        <f>SUM([1]ภ.3!$V2:$V36)</f>
        <v>0</v>
      </c>
      <c r="N15" s="315">
        <f>SUM([1]ภ.3!$W$2:$W36)</f>
        <v>0</v>
      </c>
      <c r="O15" s="306">
        <f t="shared" si="22"/>
        <v>0</v>
      </c>
      <c r="P15" s="305">
        <f>SUM([1]ภ.4!$V2:$V36)</f>
        <v>0</v>
      </c>
      <c r="Q15" s="305">
        <f>SUM([1]ภ.4!$W$2:$W36)</f>
        <v>0</v>
      </c>
      <c r="R15" s="306">
        <f t="shared" si="23"/>
        <v>0</v>
      </c>
      <c r="S15" s="315">
        <f>SUM([1]ภ.5!$V2:$V36)</f>
        <v>0</v>
      </c>
      <c r="T15" s="315">
        <f>SUM([1]ภ.5!$W$2:$W36)</f>
        <v>0</v>
      </c>
      <c r="U15" s="306">
        <f t="shared" si="24"/>
        <v>0</v>
      </c>
      <c r="V15" s="305">
        <f>SUM([1]ภ.6!$V2:$V36)</f>
        <v>0</v>
      </c>
      <c r="W15" s="305">
        <f>SUM([1]ภ.6!$W$2:$W36)</f>
        <v>0</v>
      </c>
      <c r="X15" s="306">
        <f t="shared" si="25"/>
        <v>0</v>
      </c>
      <c r="Y15" s="315">
        <f>SUM([1]ภ.7!$V2:$V36)</f>
        <v>0</v>
      </c>
      <c r="Z15" s="315">
        <f>SUM([1]ภ.7!$W$2:$W36)</f>
        <v>0</v>
      </c>
      <c r="AA15" s="306">
        <f t="shared" si="26"/>
        <v>0</v>
      </c>
      <c r="AB15" s="305">
        <f>SUM([1]ภ.8!$V2:$V36)</f>
        <v>0</v>
      </c>
      <c r="AC15" s="305">
        <f>SUM([1]ภ.8!$W$2:$W36)</f>
        <v>0</v>
      </c>
      <c r="AD15" s="306">
        <f t="shared" si="27"/>
        <v>0</v>
      </c>
      <c r="AE15" s="315">
        <f>SUM([1]ภ.9!$V2:$V36)</f>
        <v>0</v>
      </c>
      <c r="AF15" s="315">
        <f>SUM([1]ภ.9!$W$2:$W36)</f>
        <v>0</v>
      </c>
      <c r="AG15" s="306">
        <f t="shared" si="28"/>
        <v>0</v>
      </c>
      <c r="AH15" s="305">
        <f>SUM([1]บช.ก.!$V2:$V36)</f>
        <v>3</v>
      </c>
      <c r="AI15" s="305">
        <f>SUM([1]บช.ก.!$W$2:$W36)</f>
        <v>3</v>
      </c>
      <c r="AJ15" s="306">
        <f t="shared" si="29"/>
        <v>9</v>
      </c>
      <c r="AK15" s="315">
        <f>SUM([1]บช.สอท.!$V2:$V36)</f>
        <v>0</v>
      </c>
      <c r="AL15" s="315">
        <f>SUM([1]บช.สอท.!$W$2:$W36)</f>
        <v>0</v>
      </c>
      <c r="AM15" s="306">
        <f t="shared" si="30"/>
        <v>0</v>
      </c>
      <c r="AN15" s="305">
        <f>SUM([1]บช.ปส.!$V2:$V36)</f>
        <v>0</v>
      </c>
      <c r="AO15" s="305">
        <f>SUM([1]บช.ปส.!$W$2:$W36)</f>
        <v>0</v>
      </c>
      <c r="AP15" s="306">
        <f t="shared" si="31"/>
        <v>0</v>
      </c>
      <c r="AQ15" s="315">
        <f>SUM([1]สตม.!$V2:$V36)</f>
        <v>0</v>
      </c>
      <c r="AR15" s="315">
        <f>SUM([1]สตม.!$W$2:$W36)</f>
        <v>0</v>
      </c>
      <c r="AS15" s="306">
        <f t="shared" si="32"/>
        <v>0</v>
      </c>
      <c r="AT15" s="305">
        <f>SUM([1]บช.ทท.!$V2:$V36)</f>
        <v>0</v>
      </c>
      <c r="AU15" s="305">
        <f>SUM([1]บช.ทท.!$W$2:$W36)</f>
        <v>0</v>
      </c>
      <c r="AV15" s="306">
        <f t="shared" si="33"/>
        <v>0</v>
      </c>
      <c r="AW15" s="315">
        <f>SUM([1]บช.ตชด.!$V2:$V36)</f>
        <v>0</v>
      </c>
      <c r="AX15" s="315">
        <f>SUM([1]บช.ตชด.!$W$2:$W36)</f>
        <v>0</v>
      </c>
      <c r="AY15" s="306">
        <f t="shared" si="34"/>
        <v>0</v>
      </c>
      <c r="AZ15" s="299"/>
      <c r="BA15" s="299"/>
      <c r="BB15" s="299"/>
      <c r="BC15" s="299"/>
      <c r="BD15" s="299"/>
      <c r="BE15" s="299"/>
      <c r="BF15" s="299"/>
      <c r="BG15" s="299"/>
      <c r="BH15" s="299"/>
      <c r="BI15" s="299"/>
      <c r="BJ15" s="299"/>
      <c r="BK15" s="299"/>
      <c r="BL15" s="299"/>
      <c r="BM15" s="299"/>
      <c r="BN15" s="299"/>
      <c r="BO15" s="299"/>
      <c r="BP15" s="299"/>
      <c r="BQ15" s="299"/>
      <c r="BR15" s="299"/>
      <c r="BS15" s="299"/>
      <c r="BT15" s="299"/>
      <c r="BU15" s="299"/>
      <c r="BV15" s="299"/>
      <c r="BW15" s="299"/>
      <c r="BX15" s="299"/>
      <c r="BY15" s="299"/>
    </row>
    <row r="16" spans="1:77" ht="13.5" thickBot="1">
      <c r="A16" s="314" t="s">
        <v>94</v>
      </c>
      <c r="B16" s="330">
        <f t="shared" si="18"/>
        <v>14</v>
      </c>
      <c r="C16" s="331">
        <f t="shared" si="18"/>
        <v>20</v>
      </c>
      <c r="D16" s="301">
        <f>SUM([1]บช.น.!$X2:$X36)</f>
        <v>4</v>
      </c>
      <c r="E16" s="302">
        <f>SUM([1]บช.น.!$Y2:$Y36)</f>
        <v>4</v>
      </c>
      <c r="F16" s="303">
        <f t="shared" si="19"/>
        <v>12</v>
      </c>
      <c r="G16" s="315">
        <f>SUM([1]ภ.1!$X2:$X36)</f>
        <v>0</v>
      </c>
      <c r="H16" s="315">
        <f>SUM([1]ภ.1!$Y2:$Y36)</f>
        <v>0</v>
      </c>
      <c r="I16" s="304">
        <f t="shared" si="20"/>
        <v>0</v>
      </c>
      <c r="J16" s="305">
        <f>SUM([1]ภ.2!$X2:$X36)</f>
        <v>2</v>
      </c>
      <c r="K16" s="305">
        <f>SUM([1]ภ.2!$Y2:$Y36)</f>
        <v>2</v>
      </c>
      <c r="L16" s="307">
        <f t="shared" si="21"/>
        <v>6</v>
      </c>
      <c r="M16" s="315">
        <f>SUM([1]ภ.3!$X2:$X36)</f>
        <v>0</v>
      </c>
      <c r="N16" s="315">
        <f>SUM([1]ภ.3!$Y2:$Y36)</f>
        <v>0</v>
      </c>
      <c r="O16" s="307">
        <f t="shared" si="22"/>
        <v>0</v>
      </c>
      <c r="P16" s="305">
        <f>SUM([1]ภ.4!$X2:$X36)</f>
        <v>1</v>
      </c>
      <c r="Q16" s="305">
        <f>SUM([1]ภ.4!$Y2:$Y36)</f>
        <v>1</v>
      </c>
      <c r="R16" s="307">
        <f t="shared" si="23"/>
        <v>3</v>
      </c>
      <c r="S16" s="315">
        <f>SUM([1]ภ.5!$X2:$X36)</f>
        <v>0</v>
      </c>
      <c r="T16" s="315">
        <f>SUM([1]ภ.5!$Y2:$Y36)</f>
        <v>0</v>
      </c>
      <c r="U16" s="307">
        <f t="shared" si="24"/>
        <v>0</v>
      </c>
      <c r="V16" s="305">
        <f>SUM([1]ภ.6!$X2:$X36)</f>
        <v>0</v>
      </c>
      <c r="W16" s="305">
        <f>SUM([1]ภ.6!$Y2:$Y36)</f>
        <v>0</v>
      </c>
      <c r="X16" s="307">
        <f t="shared" si="25"/>
        <v>0</v>
      </c>
      <c r="Y16" s="315">
        <f>SUM([1]ภ.7!$X2:$X36)</f>
        <v>0</v>
      </c>
      <c r="Z16" s="315">
        <f>SUM([1]ภ.7!$Y2:$Y36)</f>
        <v>0</v>
      </c>
      <c r="AA16" s="307">
        <f t="shared" si="26"/>
        <v>0</v>
      </c>
      <c r="AB16" s="305">
        <f>SUM([1]ภ.8!$X2:$X36)</f>
        <v>1</v>
      </c>
      <c r="AC16" s="305">
        <f>SUM([1]ภ.8!$Y2:$Y36)</f>
        <v>1</v>
      </c>
      <c r="AD16" s="307">
        <f t="shared" si="27"/>
        <v>3</v>
      </c>
      <c r="AE16" s="315">
        <f>SUM([1]ภ.9!$X2:$X36)</f>
        <v>3</v>
      </c>
      <c r="AF16" s="315">
        <f>SUM([1]ภ.9!$Y2:$Y36)</f>
        <v>8</v>
      </c>
      <c r="AG16" s="307">
        <f t="shared" si="28"/>
        <v>9</v>
      </c>
      <c r="AH16" s="305">
        <f>SUM([1]บช.ก.!$X2:$X36)</f>
        <v>0</v>
      </c>
      <c r="AI16" s="305">
        <f>SUM([1]บช.ก.!$Y2:$Y36)</f>
        <v>0</v>
      </c>
      <c r="AJ16" s="307">
        <f t="shared" si="29"/>
        <v>0</v>
      </c>
      <c r="AK16" s="315">
        <f>SUM([1]บช.สอท.!$X2:$X36)</f>
        <v>2</v>
      </c>
      <c r="AL16" s="315">
        <f>SUM([1]บช.สอท.!$Y2:$Y36)</f>
        <v>3</v>
      </c>
      <c r="AM16" s="307">
        <f t="shared" si="30"/>
        <v>6</v>
      </c>
      <c r="AN16" s="305">
        <f>SUM([1]บช.ปส.!$X2:$X36)</f>
        <v>0</v>
      </c>
      <c r="AO16" s="305">
        <f>SUM([1]บช.ปส.!$Y2:$Y36)</f>
        <v>0</v>
      </c>
      <c r="AP16" s="307">
        <f t="shared" si="31"/>
        <v>0</v>
      </c>
      <c r="AQ16" s="315">
        <f>SUM([1]สตม.!$X2:$X36)</f>
        <v>1</v>
      </c>
      <c r="AR16" s="315">
        <f>SUM([1]สตม.!$Y2:$Y36)</f>
        <v>1</v>
      </c>
      <c r="AS16" s="307">
        <f t="shared" si="32"/>
        <v>3</v>
      </c>
      <c r="AT16" s="305">
        <f>SUM([1]บช.ทท.!$X2:$X36)</f>
        <v>0</v>
      </c>
      <c r="AU16" s="305">
        <f>SUM([1]บช.ทท.!$Y2:$Y36)</f>
        <v>0</v>
      </c>
      <c r="AV16" s="307">
        <f t="shared" si="33"/>
        <v>0</v>
      </c>
      <c r="AW16" s="315">
        <f>SUM([1]บช.ตชด.!$X2:$X36)</f>
        <v>0</v>
      </c>
      <c r="AX16" s="315">
        <f>SUM([1]บช.ตชด.!$Y2:$Y36)</f>
        <v>0</v>
      </c>
      <c r="AY16" s="307">
        <f t="shared" si="34"/>
        <v>0</v>
      </c>
      <c r="AZ16" s="299"/>
      <c r="BA16" s="299"/>
      <c r="BB16" s="299"/>
      <c r="BC16" s="299"/>
      <c r="BD16" s="299"/>
      <c r="BE16" s="299"/>
      <c r="BF16" s="299"/>
      <c r="BG16" s="299"/>
      <c r="BH16" s="299"/>
      <c r="BI16" s="299"/>
      <c r="BJ16" s="299"/>
      <c r="BK16" s="299"/>
      <c r="BL16" s="299"/>
      <c r="BM16" s="299"/>
      <c r="BN16" s="299"/>
      <c r="BO16" s="299"/>
      <c r="BP16" s="299"/>
      <c r="BQ16" s="299"/>
      <c r="BR16" s="299"/>
      <c r="BS16" s="299"/>
      <c r="BT16" s="299"/>
      <c r="BU16" s="299"/>
      <c r="BV16" s="299"/>
      <c r="BW16" s="299"/>
      <c r="BX16" s="299"/>
      <c r="BY16" s="299"/>
    </row>
    <row r="17" spans="1:77" s="319" customFormat="1" ht="13.5" thickBot="1">
      <c r="A17" s="337" t="s">
        <v>32</v>
      </c>
      <c r="B17" s="334">
        <f t="shared" ref="B17:AY17" si="35">SUM(B11:B16)</f>
        <v>112</v>
      </c>
      <c r="C17" s="335">
        <f t="shared" si="35"/>
        <v>117</v>
      </c>
      <c r="D17" s="260">
        <f t="shared" si="35"/>
        <v>16</v>
      </c>
      <c r="E17" s="318">
        <f t="shared" si="35"/>
        <v>17</v>
      </c>
      <c r="F17" s="261">
        <f t="shared" si="35"/>
        <v>54</v>
      </c>
      <c r="G17" s="288">
        <f t="shared" si="35"/>
        <v>7</v>
      </c>
      <c r="H17" s="288">
        <f t="shared" si="35"/>
        <v>7</v>
      </c>
      <c r="I17" s="288">
        <f t="shared" si="35"/>
        <v>28</v>
      </c>
      <c r="J17" s="288">
        <f t="shared" si="35"/>
        <v>5</v>
      </c>
      <c r="K17" s="288">
        <f t="shared" si="35"/>
        <v>6</v>
      </c>
      <c r="L17" s="290">
        <f t="shared" si="35"/>
        <v>18</v>
      </c>
      <c r="M17" s="288">
        <f t="shared" si="35"/>
        <v>1</v>
      </c>
      <c r="N17" s="288">
        <f t="shared" si="35"/>
        <v>1</v>
      </c>
      <c r="O17" s="290">
        <f t="shared" si="35"/>
        <v>4</v>
      </c>
      <c r="P17" s="288">
        <f t="shared" si="35"/>
        <v>17</v>
      </c>
      <c r="Q17" s="288">
        <f t="shared" si="35"/>
        <v>17</v>
      </c>
      <c r="R17" s="290">
        <f t="shared" si="35"/>
        <v>76</v>
      </c>
      <c r="S17" s="288">
        <f t="shared" si="35"/>
        <v>6</v>
      </c>
      <c r="T17" s="288">
        <f t="shared" si="35"/>
        <v>6</v>
      </c>
      <c r="U17" s="290">
        <f t="shared" si="35"/>
        <v>24</v>
      </c>
      <c r="V17" s="288">
        <f t="shared" si="35"/>
        <v>3</v>
      </c>
      <c r="W17" s="288">
        <f t="shared" si="35"/>
        <v>2</v>
      </c>
      <c r="X17" s="290">
        <f t="shared" si="35"/>
        <v>11</v>
      </c>
      <c r="Y17" s="288">
        <f t="shared" si="35"/>
        <v>3</v>
      </c>
      <c r="Z17" s="288">
        <f t="shared" si="35"/>
        <v>4</v>
      </c>
      <c r="AA17" s="290">
        <f t="shared" si="35"/>
        <v>11</v>
      </c>
      <c r="AB17" s="288">
        <f t="shared" si="35"/>
        <v>2</v>
      </c>
      <c r="AC17" s="288">
        <f t="shared" si="35"/>
        <v>2</v>
      </c>
      <c r="AD17" s="290">
        <f t="shared" si="35"/>
        <v>8</v>
      </c>
      <c r="AE17" s="288">
        <f t="shared" si="35"/>
        <v>16</v>
      </c>
      <c r="AF17" s="288">
        <f t="shared" si="35"/>
        <v>20</v>
      </c>
      <c r="AG17" s="290">
        <f t="shared" si="35"/>
        <v>68</v>
      </c>
      <c r="AH17" s="288">
        <f t="shared" si="35"/>
        <v>16</v>
      </c>
      <c r="AI17" s="288">
        <f t="shared" si="35"/>
        <v>15</v>
      </c>
      <c r="AJ17" s="290">
        <f t="shared" si="35"/>
        <v>71</v>
      </c>
      <c r="AK17" s="288">
        <f t="shared" si="35"/>
        <v>13</v>
      </c>
      <c r="AL17" s="288">
        <f t="shared" si="35"/>
        <v>14</v>
      </c>
      <c r="AM17" s="290">
        <f t="shared" si="35"/>
        <v>38</v>
      </c>
      <c r="AN17" s="288">
        <f t="shared" si="35"/>
        <v>4</v>
      </c>
      <c r="AO17" s="288">
        <f t="shared" si="35"/>
        <v>3</v>
      </c>
      <c r="AP17" s="290">
        <f t="shared" si="35"/>
        <v>20</v>
      </c>
      <c r="AQ17" s="288">
        <f t="shared" si="35"/>
        <v>3</v>
      </c>
      <c r="AR17" s="288">
        <f t="shared" si="35"/>
        <v>3</v>
      </c>
      <c r="AS17" s="290">
        <f t="shared" si="35"/>
        <v>10</v>
      </c>
      <c r="AT17" s="288">
        <f t="shared" si="35"/>
        <v>0</v>
      </c>
      <c r="AU17" s="288">
        <f t="shared" si="35"/>
        <v>0</v>
      </c>
      <c r="AV17" s="290">
        <f t="shared" si="35"/>
        <v>0</v>
      </c>
      <c r="AW17" s="288">
        <f t="shared" si="35"/>
        <v>0</v>
      </c>
      <c r="AX17" s="288">
        <f t="shared" si="35"/>
        <v>0</v>
      </c>
      <c r="AY17" s="290">
        <f t="shared" si="35"/>
        <v>0</v>
      </c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  <c r="BS17" s="265"/>
      <c r="BT17" s="265"/>
      <c r="BU17" s="265"/>
      <c r="BV17" s="265"/>
      <c r="BW17" s="265"/>
      <c r="BX17" s="265"/>
      <c r="BY17" s="265"/>
    </row>
    <row r="18" spans="1:77" ht="13.5" thickBot="1">
      <c r="A18" s="309" t="s">
        <v>95</v>
      </c>
      <c r="B18" s="328"/>
      <c r="C18" s="329"/>
      <c r="D18" s="310"/>
      <c r="E18" s="311"/>
      <c r="F18" s="312"/>
      <c r="G18" s="313"/>
      <c r="H18" s="313"/>
      <c r="I18" s="286"/>
      <c r="J18" s="288"/>
      <c r="K18" s="288"/>
      <c r="L18" s="298"/>
      <c r="M18" s="313"/>
      <c r="N18" s="313"/>
      <c r="O18" s="298"/>
      <c r="P18" s="288"/>
      <c r="Q18" s="288"/>
      <c r="R18" s="298"/>
      <c r="S18" s="313"/>
      <c r="T18" s="313"/>
      <c r="U18" s="298"/>
      <c r="V18" s="288"/>
      <c r="W18" s="288"/>
      <c r="X18" s="298"/>
      <c r="Y18" s="313"/>
      <c r="Z18" s="313"/>
      <c r="AA18" s="298"/>
      <c r="AB18" s="288"/>
      <c r="AC18" s="288"/>
      <c r="AD18" s="298"/>
      <c r="AE18" s="313"/>
      <c r="AF18" s="313"/>
      <c r="AG18" s="298"/>
      <c r="AH18" s="288"/>
      <c r="AI18" s="288"/>
      <c r="AJ18" s="298"/>
      <c r="AK18" s="313"/>
      <c r="AL18" s="313"/>
      <c r="AM18" s="298"/>
      <c r="AN18" s="288"/>
      <c r="AO18" s="288"/>
      <c r="AP18" s="298"/>
      <c r="AQ18" s="313"/>
      <c r="AR18" s="313"/>
      <c r="AS18" s="298"/>
      <c r="AT18" s="288"/>
      <c r="AU18" s="288"/>
      <c r="AV18" s="298"/>
      <c r="AW18" s="313"/>
      <c r="AX18" s="313"/>
      <c r="AY18" s="298"/>
      <c r="AZ18" s="308"/>
      <c r="BA18" s="308"/>
      <c r="BB18" s="308"/>
      <c r="BC18" s="308"/>
      <c r="BD18" s="308"/>
      <c r="BE18" s="308"/>
      <c r="BF18" s="308"/>
      <c r="BG18" s="308"/>
      <c r="BH18" s="308"/>
      <c r="BI18" s="308"/>
      <c r="BJ18" s="308"/>
      <c r="BK18" s="308"/>
      <c r="BL18" s="308"/>
      <c r="BM18" s="308"/>
      <c r="BN18" s="308"/>
      <c r="BO18" s="308"/>
      <c r="BP18" s="308"/>
      <c r="BQ18" s="308"/>
      <c r="BR18" s="308"/>
      <c r="BS18" s="308"/>
      <c r="BT18" s="308"/>
      <c r="BU18" s="308"/>
      <c r="BV18" s="308"/>
      <c r="BW18" s="308"/>
      <c r="BX18" s="308"/>
      <c r="BY18" s="308"/>
    </row>
    <row r="19" spans="1:77" ht="13.5" thickBot="1">
      <c r="A19" s="314" t="s">
        <v>96</v>
      </c>
      <c r="B19" s="330">
        <f t="shared" ref="B19:C22" si="36">D19+G19+J19+M19+P19+S19+V19+Y19+AB19+AE19+AH19+AK19+AN19+AQ19+AT19+AW19</f>
        <v>143</v>
      </c>
      <c r="C19" s="331">
        <f t="shared" si="36"/>
        <v>133</v>
      </c>
      <c r="D19" s="301">
        <f>SUM([1]บช.น.!$Z2:$Z36)</f>
        <v>6</v>
      </c>
      <c r="E19" s="302">
        <f>SUM([1]บช.น.!$AA2:$AA36)</f>
        <v>6</v>
      </c>
      <c r="F19" s="303">
        <f t="shared" ref="F19:F20" si="37">D19*3</f>
        <v>18</v>
      </c>
      <c r="G19" s="315">
        <f>SUM([1]ภ.1!$Z2:$Z36)</f>
        <v>20</v>
      </c>
      <c r="H19" s="315">
        <f>SUM([1]ภ.1!$AA2:$AA36)</f>
        <v>12</v>
      </c>
      <c r="I19" s="304">
        <f t="shared" ref="I19:I20" si="38">G19*3</f>
        <v>60</v>
      </c>
      <c r="J19" s="305">
        <f>SUM([1]ภ.2!$Z2:$Z36)</f>
        <v>5</v>
      </c>
      <c r="K19" s="305">
        <f>SUM([1]ภ.2!$AA2:$AA36)</f>
        <v>5</v>
      </c>
      <c r="L19" s="306">
        <f t="shared" ref="L19:L20" si="39">J19*3</f>
        <v>15</v>
      </c>
      <c r="M19" s="315">
        <f>SUM([1]ภ.3!$Z2:$Z36)</f>
        <v>8</v>
      </c>
      <c r="N19" s="315">
        <f>SUM([1]ภ.3!$AA2:$AA36)</f>
        <v>8</v>
      </c>
      <c r="O19" s="306">
        <f t="shared" ref="O19:O20" si="40">M19*3</f>
        <v>24</v>
      </c>
      <c r="P19" s="305">
        <f>SUM([1]ภ.4!$Z2:$Z36)</f>
        <v>24</v>
      </c>
      <c r="Q19" s="305">
        <f>SUM([1]ภ.4!$AA2:$AA36)</f>
        <v>24</v>
      </c>
      <c r="R19" s="306">
        <f t="shared" ref="R19:R20" si="41">P19*3</f>
        <v>72</v>
      </c>
      <c r="S19" s="315">
        <f>SUM([1]ภ.5!$Z2:$Z36)</f>
        <v>16</v>
      </c>
      <c r="T19" s="315">
        <f>SUM([1]ภ.5!$AA2:$AA36)</f>
        <v>16</v>
      </c>
      <c r="U19" s="306">
        <f t="shared" ref="U19:U20" si="42">S19*3</f>
        <v>48</v>
      </c>
      <c r="V19" s="305">
        <f>SUM([1]ภ.6!$Z2:$Z36)</f>
        <v>5</v>
      </c>
      <c r="W19" s="305">
        <f>SUM([1]ภ.6!$AA2:$AA36)</f>
        <v>5</v>
      </c>
      <c r="X19" s="306">
        <f t="shared" ref="X19:X20" si="43">V19*3</f>
        <v>15</v>
      </c>
      <c r="Y19" s="315">
        <f>SUM([1]ภ.7!$Z2:$Z36)</f>
        <v>13</v>
      </c>
      <c r="Z19" s="315">
        <f>SUM([1]ภ.7!$AA2:$AA36)</f>
        <v>12</v>
      </c>
      <c r="AA19" s="306">
        <f t="shared" ref="AA19:AA20" si="44">Y19*3</f>
        <v>39</v>
      </c>
      <c r="AB19" s="305">
        <f>SUM([1]ภ.8!$Z2:$Z36)</f>
        <v>11</v>
      </c>
      <c r="AC19" s="305">
        <f>SUM([1]ภ.8!$AA2:$AA36)</f>
        <v>11</v>
      </c>
      <c r="AD19" s="306">
        <f t="shared" ref="AD19:AD20" si="45">AB19*3</f>
        <v>33</v>
      </c>
      <c r="AE19" s="315">
        <f>SUM([1]ภ.9!$Z2:$Z36)</f>
        <v>0</v>
      </c>
      <c r="AF19" s="315">
        <f>SUM([1]ภ.9!$AA2:$AA36)</f>
        <v>0</v>
      </c>
      <c r="AG19" s="306">
        <f t="shared" ref="AG19:AG20" si="46">AE19*3</f>
        <v>0</v>
      </c>
      <c r="AH19" s="305">
        <f>SUM([1]บช.ก.!$Z2:$Z36)</f>
        <v>8</v>
      </c>
      <c r="AI19" s="305">
        <f>SUM([1]บช.ก.!$AA2:$AA36)</f>
        <v>7</v>
      </c>
      <c r="AJ19" s="306">
        <f t="shared" ref="AJ19:AJ20" si="47">AH19*3</f>
        <v>24</v>
      </c>
      <c r="AK19" s="315">
        <f>SUM([1]บช.สอท.!$Z2:$Z36)</f>
        <v>27</v>
      </c>
      <c r="AL19" s="315">
        <f>SUM([1]บช.สอท.!$AA2:$AA36)</f>
        <v>27</v>
      </c>
      <c r="AM19" s="306">
        <f t="shared" ref="AM19:AM20" si="48">AK19*3</f>
        <v>81</v>
      </c>
      <c r="AN19" s="305">
        <f>SUM([1]บช.ปส.!$Z2:$Z36)</f>
        <v>0</v>
      </c>
      <c r="AO19" s="305">
        <f>SUM([1]บช.ปส.!$AA2:$AA36)</f>
        <v>0</v>
      </c>
      <c r="AP19" s="306">
        <f t="shared" ref="AP19:AP20" si="49">AN19*3</f>
        <v>0</v>
      </c>
      <c r="AQ19" s="315">
        <f>SUM([1]สตม.!$Z2:$Z36)</f>
        <v>0</v>
      </c>
      <c r="AR19" s="315">
        <f>SUM([1]สตม.!$AA2:$AA36)</f>
        <v>0</v>
      </c>
      <c r="AS19" s="306">
        <f t="shared" ref="AS19:AS20" si="50">AQ19*3</f>
        <v>0</v>
      </c>
      <c r="AT19" s="305">
        <f>SUM([1]บช.ทท.!$Z2:$Z36)</f>
        <v>0</v>
      </c>
      <c r="AU19" s="305">
        <f>SUM([1]บช.ทท.!$AA2:$AA36)</f>
        <v>0</v>
      </c>
      <c r="AV19" s="306">
        <f t="shared" ref="AV19:AV20" si="51">AT19*3</f>
        <v>0</v>
      </c>
      <c r="AW19" s="315">
        <f>SUM([1]บช.ตชด.!$Z2:$Z36)</f>
        <v>0</v>
      </c>
      <c r="AX19" s="315">
        <f>SUM([1]บช.ตชด.!$AA2:$AA36)</f>
        <v>0</v>
      </c>
      <c r="AY19" s="306">
        <f t="shared" ref="AY19:AY20" si="52">AW19*3</f>
        <v>0</v>
      </c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  <c r="BK19" s="299"/>
      <c r="BL19" s="299"/>
      <c r="BM19" s="299"/>
      <c r="BN19" s="299"/>
      <c r="BO19" s="299"/>
      <c r="BP19" s="299"/>
      <c r="BQ19" s="299"/>
      <c r="BR19" s="299"/>
      <c r="BS19" s="299"/>
      <c r="BT19" s="299"/>
      <c r="BU19" s="299"/>
      <c r="BV19" s="299"/>
      <c r="BW19" s="299"/>
      <c r="BX19" s="299"/>
      <c r="BY19" s="299"/>
    </row>
    <row r="20" spans="1:77" ht="13.5" thickBot="1">
      <c r="A20" s="314" t="s">
        <v>97</v>
      </c>
      <c r="B20" s="330">
        <f t="shared" si="36"/>
        <v>10</v>
      </c>
      <c r="C20" s="331">
        <f t="shared" si="36"/>
        <v>10</v>
      </c>
      <c r="D20" s="301">
        <f>SUM([1]บช.น.!$AB2:$AB36)</f>
        <v>0</v>
      </c>
      <c r="E20" s="302">
        <f>SUM([1]บช.น.!$AC2:$AC36)</f>
        <v>0</v>
      </c>
      <c r="F20" s="303">
        <f t="shared" si="37"/>
        <v>0</v>
      </c>
      <c r="G20" s="315">
        <f>SUM([1]ภ.1!$AB2:$AB36)</f>
        <v>2</v>
      </c>
      <c r="H20" s="315">
        <f>SUM([1]ภ.1!$AC2:$AC36)</f>
        <v>2</v>
      </c>
      <c r="I20" s="304">
        <f t="shared" si="38"/>
        <v>6</v>
      </c>
      <c r="J20" s="305">
        <f>SUM([1]ภ.2!$AB2:$AB36)</f>
        <v>1</v>
      </c>
      <c r="K20" s="305">
        <f>SUM([1]ภ.2!$AC2:$AC36)</f>
        <v>1</v>
      </c>
      <c r="L20" s="307">
        <f t="shared" si="39"/>
        <v>3</v>
      </c>
      <c r="M20" s="315">
        <f>SUM([1]ภ.3!$AB2:$AB36)</f>
        <v>0</v>
      </c>
      <c r="N20" s="315">
        <f>SUM([1]ภ.3!$AC2:$AC36)</f>
        <v>0</v>
      </c>
      <c r="O20" s="307">
        <f t="shared" si="40"/>
        <v>0</v>
      </c>
      <c r="P20" s="305">
        <f>SUM([1]ภ.4!$AB2:$AB36)</f>
        <v>0</v>
      </c>
      <c r="Q20" s="305">
        <f>SUM([1]ภ.4!$AC2:$AC36)</f>
        <v>0</v>
      </c>
      <c r="R20" s="307">
        <f t="shared" si="41"/>
        <v>0</v>
      </c>
      <c r="S20" s="315">
        <f>SUM([1]ภ.5!$AB2:$AB36)</f>
        <v>0</v>
      </c>
      <c r="T20" s="315">
        <f>SUM([1]ภ.5!$AC2:$AC36)</f>
        <v>0</v>
      </c>
      <c r="U20" s="307">
        <f t="shared" si="42"/>
        <v>0</v>
      </c>
      <c r="V20" s="305">
        <f>SUM([1]ภ.6!$AB2:$AB36)</f>
        <v>0</v>
      </c>
      <c r="W20" s="305">
        <f>SUM([1]ภ.6!$AC2:$AC36)</f>
        <v>0</v>
      </c>
      <c r="X20" s="307">
        <f t="shared" si="43"/>
        <v>0</v>
      </c>
      <c r="Y20" s="315">
        <f>SUM([1]ภ.7!$AB2:$AB36)</f>
        <v>1</v>
      </c>
      <c r="Z20" s="315">
        <f>SUM([1]ภ.7!$AC2:$AC36)</f>
        <v>1</v>
      </c>
      <c r="AA20" s="307">
        <f t="shared" si="44"/>
        <v>3</v>
      </c>
      <c r="AB20" s="305">
        <f>SUM([1]ภ.8!$AB2:$AB36)</f>
        <v>0</v>
      </c>
      <c r="AC20" s="305">
        <f>SUM([1]ภ.8!$AC2:$AC36)</f>
        <v>0</v>
      </c>
      <c r="AD20" s="307">
        <f t="shared" si="45"/>
        <v>0</v>
      </c>
      <c r="AE20" s="315">
        <f>SUM([1]ภ.9!$AB2:$AB36)</f>
        <v>0</v>
      </c>
      <c r="AF20" s="315">
        <f>SUM([1]ภ.9!$AC2:$AC36)</f>
        <v>0</v>
      </c>
      <c r="AG20" s="307">
        <f t="shared" si="46"/>
        <v>0</v>
      </c>
      <c r="AH20" s="305">
        <f>SUM([1]บช.ก.!$AB2:$AB36)</f>
        <v>0</v>
      </c>
      <c r="AI20" s="305">
        <f>SUM([1]บช.ก.!$AC2:$AC36)</f>
        <v>0</v>
      </c>
      <c r="AJ20" s="307">
        <f t="shared" si="47"/>
        <v>0</v>
      </c>
      <c r="AK20" s="315">
        <f>SUM([1]บช.สอท.!$AB2:$AB36)</f>
        <v>6</v>
      </c>
      <c r="AL20" s="315">
        <f>SUM([1]บช.สอท.!$AC2:$AC36)</f>
        <v>6</v>
      </c>
      <c r="AM20" s="307">
        <f t="shared" si="48"/>
        <v>18</v>
      </c>
      <c r="AN20" s="305">
        <f>SUM([1]บช.ปส.!$AB2:$AB36)</f>
        <v>0</v>
      </c>
      <c r="AO20" s="305">
        <f>SUM([1]บช.ปส.!$AC2:$AC36)</f>
        <v>0</v>
      </c>
      <c r="AP20" s="307">
        <f t="shared" si="49"/>
        <v>0</v>
      </c>
      <c r="AQ20" s="315">
        <f>SUM([1]สตม.!$AB2:$AB36)</f>
        <v>0</v>
      </c>
      <c r="AR20" s="315">
        <f>SUM([1]สตม.!$AC2:$AC36)</f>
        <v>0</v>
      </c>
      <c r="AS20" s="307">
        <f t="shared" si="50"/>
        <v>0</v>
      </c>
      <c r="AT20" s="305">
        <f>SUM([1]บช.ทท.!$AB2:$AB36)</f>
        <v>0</v>
      </c>
      <c r="AU20" s="305">
        <f>SUM([1]บช.ทท.!$AC2:$AC36)</f>
        <v>0</v>
      </c>
      <c r="AV20" s="307">
        <f t="shared" si="51"/>
        <v>0</v>
      </c>
      <c r="AW20" s="315">
        <f>SUM([1]บช.ตชด.!$AB2:$AB36)</f>
        <v>0</v>
      </c>
      <c r="AX20" s="315">
        <f>SUM([1]บช.ตชด.!$AC2:$AC36)</f>
        <v>0</v>
      </c>
      <c r="AY20" s="307">
        <f t="shared" si="52"/>
        <v>0</v>
      </c>
      <c r="AZ20" s="299"/>
      <c r="BA20" s="299"/>
      <c r="BB20" s="299"/>
      <c r="BC20" s="299"/>
      <c r="BD20" s="299"/>
      <c r="BE20" s="299"/>
      <c r="BF20" s="299"/>
      <c r="BG20" s="299"/>
      <c r="BH20" s="299"/>
      <c r="BI20" s="299"/>
      <c r="BJ20" s="299"/>
      <c r="BK20" s="299"/>
      <c r="BL20" s="299"/>
      <c r="BM20" s="299"/>
      <c r="BN20" s="299"/>
      <c r="BO20" s="299"/>
      <c r="BP20" s="299"/>
      <c r="BQ20" s="299"/>
      <c r="BR20" s="299"/>
      <c r="BS20" s="299"/>
      <c r="BT20" s="299"/>
      <c r="BU20" s="299"/>
      <c r="BV20" s="299"/>
      <c r="BW20" s="299"/>
      <c r="BX20" s="299"/>
      <c r="BY20" s="299"/>
    </row>
    <row r="21" spans="1:77" ht="13.5" thickBot="1">
      <c r="A21" s="314" t="s">
        <v>98</v>
      </c>
      <c r="B21" s="330">
        <f t="shared" si="36"/>
        <v>10</v>
      </c>
      <c r="C21" s="331">
        <f t="shared" si="36"/>
        <v>11</v>
      </c>
      <c r="D21" s="301">
        <f>SUM([1]บช.น.!$AD2:$AD36)</f>
        <v>0</v>
      </c>
      <c r="E21" s="302">
        <f>SUM([1]บช.น.!$AE2:$AE36)</f>
        <v>0</v>
      </c>
      <c r="F21" s="303">
        <f t="shared" ref="F21:F22" si="53">D21*5</f>
        <v>0</v>
      </c>
      <c r="G21" s="315">
        <f>SUM([1]ภ.1!$AD2:$AD36)</f>
        <v>0</v>
      </c>
      <c r="H21" s="315">
        <f>SUM([1]ภ.1!$AE2:$AE36)</f>
        <v>0</v>
      </c>
      <c r="I21" s="304">
        <f t="shared" ref="I21:I22" si="54">G21*5</f>
        <v>0</v>
      </c>
      <c r="J21" s="305">
        <f>SUM([1]ภ.2!$AD2:$AD36)</f>
        <v>1</v>
      </c>
      <c r="K21" s="305">
        <f>SUM([1]ภ.2!$AE2:$AE36)</f>
        <v>1</v>
      </c>
      <c r="L21" s="306">
        <f t="shared" ref="L21:L22" si="55">J21*5</f>
        <v>5</v>
      </c>
      <c r="M21" s="315">
        <f>SUM([1]ภ.3!$AD2:$AD36)</f>
        <v>0</v>
      </c>
      <c r="N21" s="315">
        <f>SUM([1]ภ.3!$AE2:$AE36)</f>
        <v>0</v>
      </c>
      <c r="O21" s="306">
        <f t="shared" ref="O21:O22" si="56">M21*5</f>
        <v>0</v>
      </c>
      <c r="P21" s="305">
        <f>SUM([1]ภ.4!$AD2:$AD36)</f>
        <v>0</v>
      </c>
      <c r="Q21" s="305">
        <f>SUM([1]ภ.4!$AE2:$AE36)</f>
        <v>0</v>
      </c>
      <c r="R21" s="306">
        <f t="shared" ref="R21:R22" si="57">P21*5</f>
        <v>0</v>
      </c>
      <c r="S21" s="315">
        <f>SUM([1]ภ.5!$AD2:$AD36)</f>
        <v>0</v>
      </c>
      <c r="T21" s="315">
        <f>SUM([1]ภ.5!$AE2:$AE36)</f>
        <v>0</v>
      </c>
      <c r="U21" s="306">
        <f t="shared" ref="U21:U22" si="58">S21*5</f>
        <v>0</v>
      </c>
      <c r="V21" s="305">
        <f>SUM([1]ภ.6!$AD2:$AD36)</f>
        <v>1</v>
      </c>
      <c r="W21" s="305">
        <f>SUM([1]ภ.6!$AE2:$AE36)</f>
        <v>1</v>
      </c>
      <c r="X21" s="306">
        <f t="shared" ref="X21:X22" si="59">V21*5</f>
        <v>5</v>
      </c>
      <c r="Y21" s="315">
        <f>SUM([1]ภ.7!$AD2:$AD36)</f>
        <v>1</v>
      </c>
      <c r="Z21" s="315">
        <f>SUM([1]ภ.7!$AE2:$AE36)</f>
        <v>2</v>
      </c>
      <c r="AA21" s="306">
        <f t="shared" ref="AA21:AA22" si="60">Y21*5</f>
        <v>5</v>
      </c>
      <c r="AB21" s="305">
        <f>SUM([1]ภ.8!$AD2:$AD36)</f>
        <v>1</v>
      </c>
      <c r="AC21" s="305">
        <f>SUM([1]ภ.8!$AE2:$AE36)</f>
        <v>1</v>
      </c>
      <c r="AD21" s="306">
        <f t="shared" ref="AD21:AD22" si="61">AB21*5</f>
        <v>5</v>
      </c>
      <c r="AE21" s="315">
        <f>SUM([1]ภ.9!$AD2:$AD36)</f>
        <v>0</v>
      </c>
      <c r="AF21" s="315">
        <f>SUM([1]ภ.9!$AE2:$AE36)</f>
        <v>0</v>
      </c>
      <c r="AG21" s="306">
        <f t="shared" ref="AG21:AG22" si="62">AE21*5</f>
        <v>0</v>
      </c>
      <c r="AH21" s="305">
        <f>SUM([1]บช.ก.!$AD2:$AD36)</f>
        <v>6</v>
      </c>
      <c r="AI21" s="305">
        <f>SUM([1]บช.ก.!$AE2:$AE36)</f>
        <v>6</v>
      </c>
      <c r="AJ21" s="306">
        <f t="shared" ref="AJ21:AJ22" si="63">AH21*5</f>
        <v>30</v>
      </c>
      <c r="AK21" s="315">
        <f>SUM([1]บช.สอท.!$AD2:$AD36)</f>
        <v>0</v>
      </c>
      <c r="AL21" s="315">
        <f>SUM([1]บช.สอท.!$AE2:$AE36)</f>
        <v>0</v>
      </c>
      <c r="AM21" s="306">
        <f t="shared" ref="AM21:AM22" si="64">AK21*5</f>
        <v>0</v>
      </c>
      <c r="AN21" s="305">
        <f>SUM([1]บช.ปส.!$AD2:$AD36)</f>
        <v>0</v>
      </c>
      <c r="AO21" s="305">
        <f>SUM([1]บช.ปส.!$AE2:$AE36)</f>
        <v>0</v>
      </c>
      <c r="AP21" s="306">
        <f t="shared" ref="AP21:AP22" si="65">AN21*5</f>
        <v>0</v>
      </c>
      <c r="AQ21" s="315">
        <f>SUM([1]สตม.!$AD2:$AD36)</f>
        <v>0</v>
      </c>
      <c r="AR21" s="315">
        <f>SUM([1]สตม.!$AE2:$AE36)</f>
        <v>0</v>
      </c>
      <c r="AS21" s="306">
        <f t="shared" ref="AS21:AS22" si="66">AQ21*5</f>
        <v>0</v>
      </c>
      <c r="AT21" s="305">
        <f>SUM([1]บช.ทท.!$AD2:$AD36)</f>
        <v>0</v>
      </c>
      <c r="AU21" s="305">
        <f>SUM([1]บช.ทท.!$AE2:$AE36)</f>
        <v>0</v>
      </c>
      <c r="AV21" s="306">
        <f t="shared" ref="AV21:AV22" si="67">AT21*5</f>
        <v>0</v>
      </c>
      <c r="AW21" s="315">
        <f>SUM([1]บช.ตชด.!$AD2:$AD36)</f>
        <v>0</v>
      </c>
      <c r="AX21" s="315">
        <f>SUM([1]บช.ตชด.!$AE2:$AE36)</f>
        <v>0</v>
      </c>
      <c r="AY21" s="306">
        <f t="shared" ref="AY21:AY22" si="68">AW21*5</f>
        <v>0</v>
      </c>
      <c r="AZ21" s="299"/>
      <c r="BA21" s="299"/>
      <c r="BB21" s="299"/>
      <c r="BC21" s="299"/>
      <c r="BD21" s="299"/>
      <c r="BE21" s="299"/>
      <c r="BF21" s="299"/>
      <c r="BG21" s="299"/>
      <c r="BH21" s="299"/>
      <c r="BI21" s="299"/>
      <c r="BJ21" s="299"/>
      <c r="BK21" s="299"/>
      <c r="BL21" s="299"/>
      <c r="BM21" s="299"/>
      <c r="BN21" s="299"/>
      <c r="BO21" s="299"/>
      <c r="BP21" s="299"/>
      <c r="BQ21" s="299"/>
      <c r="BR21" s="299"/>
      <c r="BS21" s="299"/>
      <c r="BT21" s="299"/>
      <c r="BU21" s="299"/>
      <c r="BV21" s="299"/>
      <c r="BW21" s="299"/>
      <c r="BX21" s="299"/>
      <c r="BY21" s="299"/>
    </row>
    <row r="22" spans="1:77" ht="13.5" thickBot="1">
      <c r="A22" s="314" t="s">
        <v>99</v>
      </c>
      <c r="B22" s="330">
        <f t="shared" si="36"/>
        <v>0</v>
      </c>
      <c r="C22" s="331">
        <f t="shared" si="36"/>
        <v>0</v>
      </c>
      <c r="D22" s="301">
        <f>SUM([1]บช.น.!$AF2:$AF36)</f>
        <v>0</v>
      </c>
      <c r="E22" s="302">
        <f>SUM([1]บช.น.!$AG2:$AG36)</f>
        <v>0</v>
      </c>
      <c r="F22" s="303">
        <f t="shared" si="53"/>
        <v>0</v>
      </c>
      <c r="G22" s="315">
        <f>SUM([1]ภ.1!$AF2:$AF36)</f>
        <v>0</v>
      </c>
      <c r="H22" s="315">
        <f>SUM([1]ภ.1!$AG2:$AG36)</f>
        <v>0</v>
      </c>
      <c r="I22" s="304">
        <f t="shared" si="54"/>
        <v>0</v>
      </c>
      <c r="J22" s="305">
        <f>SUM([1]ภ.2!$AF2:$AF36)</f>
        <v>0</v>
      </c>
      <c r="K22" s="305">
        <f>SUM([1]ภ.2!$AG2:$AG36)</f>
        <v>0</v>
      </c>
      <c r="L22" s="307">
        <f t="shared" si="55"/>
        <v>0</v>
      </c>
      <c r="M22" s="315">
        <f>SUM([1]ภ.3!$AF2:$AF36)</f>
        <v>0</v>
      </c>
      <c r="N22" s="315">
        <f>SUM([1]ภ.3!$AG2:$AG36)</f>
        <v>0</v>
      </c>
      <c r="O22" s="307">
        <f t="shared" si="56"/>
        <v>0</v>
      </c>
      <c r="P22" s="305">
        <f>SUM([1]ภ.4!$AF2:$AF36)</f>
        <v>0</v>
      </c>
      <c r="Q22" s="305">
        <f>SUM([1]ภ.4!$AG2:$AG36)</f>
        <v>0</v>
      </c>
      <c r="R22" s="307">
        <f t="shared" si="57"/>
        <v>0</v>
      </c>
      <c r="S22" s="315">
        <f>SUM([1]ภ.5!$AF2:$AF36)</f>
        <v>0</v>
      </c>
      <c r="T22" s="315">
        <f>SUM([1]ภ.5!$AG2:$AG36)</f>
        <v>0</v>
      </c>
      <c r="U22" s="307">
        <f t="shared" si="58"/>
        <v>0</v>
      </c>
      <c r="V22" s="305">
        <f>SUM([1]ภ.6!$AF2:$AF36)</f>
        <v>0</v>
      </c>
      <c r="W22" s="305">
        <f>SUM([1]ภ.6!$AG2:$AG36)</f>
        <v>0</v>
      </c>
      <c r="X22" s="307">
        <f t="shared" si="59"/>
        <v>0</v>
      </c>
      <c r="Y22" s="315">
        <f>SUM([1]ภ.7!$AF2:$AF36)</f>
        <v>0</v>
      </c>
      <c r="Z22" s="315">
        <f>SUM([1]ภ.7!$AG2:$AG36)</f>
        <v>0</v>
      </c>
      <c r="AA22" s="307">
        <f t="shared" si="60"/>
        <v>0</v>
      </c>
      <c r="AB22" s="305">
        <f>SUM([1]ภ.8!$AF2:$AF36)</f>
        <v>0</v>
      </c>
      <c r="AC22" s="305">
        <f>SUM([1]ภ.8!$AG2:$AG36)</f>
        <v>0</v>
      </c>
      <c r="AD22" s="307">
        <f t="shared" si="61"/>
        <v>0</v>
      </c>
      <c r="AE22" s="315">
        <f>SUM([1]ภ.9!$AF2:$AF36)</f>
        <v>0</v>
      </c>
      <c r="AF22" s="315">
        <f>SUM([1]ภ.9!$AG2:$AG36)</f>
        <v>0</v>
      </c>
      <c r="AG22" s="307">
        <f t="shared" si="62"/>
        <v>0</v>
      </c>
      <c r="AH22" s="305">
        <f>SUM([1]บช.ก.!$AF2:$AF36)</f>
        <v>0</v>
      </c>
      <c r="AI22" s="305">
        <f>SUM([1]บช.ก.!$AG2:$AG36)</f>
        <v>0</v>
      </c>
      <c r="AJ22" s="307">
        <f t="shared" si="63"/>
        <v>0</v>
      </c>
      <c r="AK22" s="315">
        <f>SUM([1]บช.สอท.!$AF2:$AF36)</f>
        <v>0</v>
      </c>
      <c r="AL22" s="315">
        <f>SUM([1]บช.สอท.!$AG2:$AG36)</f>
        <v>0</v>
      </c>
      <c r="AM22" s="307">
        <f t="shared" si="64"/>
        <v>0</v>
      </c>
      <c r="AN22" s="305">
        <f>SUM([1]บช.ปส.!$AF2:$AF36)</f>
        <v>0</v>
      </c>
      <c r="AO22" s="305">
        <f>SUM([1]บช.ปส.!$AG2:$AG36)</f>
        <v>0</v>
      </c>
      <c r="AP22" s="307">
        <f t="shared" si="65"/>
        <v>0</v>
      </c>
      <c r="AQ22" s="315">
        <f>SUM([1]สตม.!$AF2:$AF36)</f>
        <v>0</v>
      </c>
      <c r="AR22" s="315">
        <f>SUM([1]สตม.!$AG2:$AG36)</f>
        <v>0</v>
      </c>
      <c r="AS22" s="307">
        <f t="shared" si="66"/>
        <v>0</v>
      </c>
      <c r="AT22" s="305">
        <f>SUM([1]บช.ทท.!$AF2:$AF36)</f>
        <v>0</v>
      </c>
      <c r="AU22" s="305">
        <f>SUM([1]บช.ทท.!$AG2:$AG36)</f>
        <v>0</v>
      </c>
      <c r="AV22" s="307">
        <f t="shared" si="67"/>
        <v>0</v>
      </c>
      <c r="AW22" s="315">
        <f>SUM([1]บช.ตชด.!$AF2:$AF36)</f>
        <v>0</v>
      </c>
      <c r="AX22" s="315">
        <f>SUM([1]บช.ตชด.!$AG2:$AG36)</f>
        <v>0</v>
      </c>
      <c r="AY22" s="307">
        <f t="shared" si="68"/>
        <v>0</v>
      </c>
      <c r="AZ22" s="299"/>
      <c r="BA22" s="299"/>
      <c r="BB22" s="299"/>
      <c r="BC22" s="299"/>
      <c r="BD22" s="299"/>
      <c r="BE22" s="299"/>
      <c r="BF22" s="299"/>
      <c r="BG22" s="299"/>
      <c r="BH22" s="299"/>
      <c r="BI22" s="299"/>
      <c r="BJ22" s="299"/>
      <c r="BK22" s="299"/>
      <c r="BL22" s="299"/>
      <c r="BM22" s="299"/>
      <c r="BN22" s="299"/>
      <c r="BO22" s="299"/>
      <c r="BP22" s="299"/>
      <c r="BQ22" s="299"/>
      <c r="BR22" s="299"/>
      <c r="BS22" s="299"/>
      <c r="BT22" s="299"/>
      <c r="BU22" s="299"/>
      <c r="BV22" s="299"/>
      <c r="BW22" s="299"/>
      <c r="BX22" s="299"/>
      <c r="BY22" s="299"/>
    </row>
    <row r="23" spans="1:77" s="266" customFormat="1" ht="13.5" thickBot="1">
      <c r="A23" s="336" t="s">
        <v>32</v>
      </c>
      <c r="B23" s="334">
        <f t="shared" ref="B23:AY23" si="69">SUM(B19:B22)</f>
        <v>163</v>
      </c>
      <c r="C23" s="335">
        <f t="shared" si="69"/>
        <v>154</v>
      </c>
      <c r="D23" s="260">
        <f t="shared" si="69"/>
        <v>6</v>
      </c>
      <c r="E23" s="318">
        <f t="shared" si="69"/>
        <v>6</v>
      </c>
      <c r="F23" s="261">
        <f t="shared" si="69"/>
        <v>18</v>
      </c>
      <c r="G23" s="288">
        <f t="shared" si="69"/>
        <v>22</v>
      </c>
      <c r="H23" s="288">
        <f t="shared" si="69"/>
        <v>14</v>
      </c>
      <c r="I23" s="288">
        <f t="shared" si="69"/>
        <v>66</v>
      </c>
      <c r="J23" s="288">
        <f t="shared" si="69"/>
        <v>7</v>
      </c>
      <c r="K23" s="288">
        <f t="shared" si="69"/>
        <v>7</v>
      </c>
      <c r="L23" s="286">
        <f t="shared" si="69"/>
        <v>23</v>
      </c>
      <c r="M23" s="288">
        <f t="shared" si="69"/>
        <v>8</v>
      </c>
      <c r="N23" s="288">
        <f t="shared" si="69"/>
        <v>8</v>
      </c>
      <c r="O23" s="286">
        <f t="shared" si="69"/>
        <v>24</v>
      </c>
      <c r="P23" s="288">
        <f t="shared" si="69"/>
        <v>24</v>
      </c>
      <c r="Q23" s="288">
        <f t="shared" si="69"/>
        <v>24</v>
      </c>
      <c r="R23" s="286">
        <f t="shared" si="69"/>
        <v>72</v>
      </c>
      <c r="S23" s="288">
        <f t="shared" si="69"/>
        <v>16</v>
      </c>
      <c r="T23" s="288">
        <f t="shared" si="69"/>
        <v>16</v>
      </c>
      <c r="U23" s="286">
        <f t="shared" si="69"/>
        <v>48</v>
      </c>
      <c r="V23" s="288">
        <f t="shared" si="69"/>
        <v>6</v>
      </c>
      <c r="W23" s="288">
        <f t="shared" si="69"/>
        <v>6</v>
      </c>
      <c r="X23" s="286">
        <f t="shared" si="69"/>
        <v>20</v>
      </c>
      <c r="Y23" s="288">
        <f t="shared" si="69"/>
        <v>15</v>
      </c>
      <c r="Z23" s="288">
        <f t="shared" si="69"/>
        <v>15</v>
      </c>
      <c r="AA23" s="286">
        <f t="shared" si="69"/>
        <v>47</v>
      </c>
      <c r="AB23" s="288">
        <f t="shared" si="69"/>
        <v>12</v>
      </c>
      <c r="AC23" s="288">
        <f t="shared" si="69"/>
        <v>12</v>
      </c>
      <c r="AD23" s="286">
        <f t="shared" si="69"/>
        <v>38</v>
      </c>
      <c r="AE23" s="288">
        <f t="shared" si="69"/>
        <v>0</v>
      </c>
      <c r="AF23" s="288">
        <f t="shared" si="69"/>
        <v>0</v>
      </c>
      <c r="AG23" s="286">
        <f t="shared" si="69"/>
        <v>0</v>
      </c>
      <c r="AH23" s="288">
        <f t="shared" si="69"/>
        <v>14</v>
      </c>
      <c r="AI23" s="288">
        <f t="shared" si="69"/>
        <v>13</v>
      </c>
      <c r="AJ23" s="286">
        <f t="shared" si="69"/>
        <v>54</v>
      </c>
      <c r="AK23" s="288">
        <f t="shared" si="69"/>
        <v>33</v>
      </c>
      <c r="AL23" s="288">
        <f t="shared" si="69"/>
        <v>33</v>
      </c>
      <c r="AM23" s="286">
        <f t="shared" si="69"/>
        <v>99</v>
      </c>
      <c r="AN23" s="288">
        <f t="shared" si="69"/>
        <v>0</v>
      </c>
      <c r="AO23" s="288">
        <f t="shared" si="69"/>
        <v>0</v>
      </c>
      <c r="AP23" s="286">
        <f t="shared" si="69"/>
        <v>0</v>
      </c>
      <c r="AQ23" s="288">
        <f t="shared" si="69"/>
        <v>0</v>
      </c>
      <c r="AR23" s="288">
        <f t="shared" si="69"/>
        <v>0</v>
      </c>
      <c r="AS23" s="286">
        <f t="shared" si="69"/>
        <v>0</v>
      </c>
      <c r="AT23" s="288">
        <f t="shared" si="69"/>
        <v>0</v>
      </c>
      <c r="AU23" s="288">
        <f t="shared" si="69"/>
        <v>0</v>
      </c>
      <c r="AV23" s="286">
        <f t="shared" si="69"/>
        <v>0</v>
      </c>
      <c r="AW23" s="288">
        <f t="shared" si="69"/>
        <v>0</v>
      </c>
      <c r="AX23" s="288">
        <f t="shared" si="69"/>
        <v>0</v>
      </c>
      <c r="AY23" s="286">
        <f t="shared" si="69"/>
        <v>0</v>
      </c>
      <c r="AZ23" s="265"/>
      <c r="BA23" s="265"/>
      <c r="BB23" s="265"/>
      <c r="BC23" s="265"/>
      <c r="BD23" s="265"/>
      <c r="BE23" s="265"/>
      <c r="BF23" s="265"/>
      <c r="BG23" s="265"/>
      <c r="BH23" s="265"/>
      <c r="BI23" s="265"/>
      <c r="BJ23" s="265"/>
      <c r="BK23" s="265"/>
      <c r="BL23" s="265"/>
      <c r="BM23" s="265"/>
      <c r="BN23" s="265"/>
      <c r="BO23" s="265"/>
      <c r="BP23" s="265"/>
      <c r="BQ23" s="265"/>
      <c r="BR23" s="265"/>
      <c r="BS23" s="265"/>
      <c r="BT23" s="265"/>
      <c r="BU23" s="265"/>
      <c r="BV23" s="265"/>
      <c r="BW23" s="265"/>
      <c r="BX23" s="265"/>
      <c r="BY23" s="265"/>
    </row>
    <row r="24" spans="1:77" ht="13.5" thickBot="1">
      <c r="A24" s="309" t="s">
        <v>100</v>
      </c>
      <c r="B24" s="328"/>
      <c r="C24" s="329"/>
      <c r="D24" s="310"/>
      <c r="E24" s="311"/>
      <c r="F24" s="312"/>
      <c r="G24" s="313"/>
      <c r="H24" s="313"/>
      <c r="I24" s="286"/>
      <c r="J24" s="288"/>
      <c r="K24" s="288"/>
      <c r="L24" s="298"/>
      <c r="M24" s="313"/>
      <c r="N24" s="313"/>
      <c r="O24" s="298"/>
      <c r="P24" s="288"/>
      <c r="Q24" s="288"/>
      <c r="R24" s="298"/>
      <c r="S24" s="313"/>
      <c r="T24" s="313"/>
      <c r="U24" s="298"/>
      <c r="V24" s="288"/>
      <c r="W24" s="288"/>
      <c r="X24" s="298"/>
      <c r="Y24" s="313"/>
      <c r="Z24" s="313"/>
      <c r="AA24" s="298"/>
      <c r="AB24" s="288"/>
      <c r="AC24" s="288"/>
      <c r="AD24" s="298"/>
      <c r="AE24" s="313"/>
      <c r="AF24" s="313"/>
      <c r="AG24" s="298"/>
      <c r="AH24" s="288"/>
      <c r="AI24" s="288"/>
      <c r="AJ24" s="298"/>
      <c r="AK24" s="313"/>
      <c r="AL24" s="313"/>
      <c r="AM24" s="298"/>
      <c r="AN24" s="288"/>
      <c r="AO24" s="288"/>
      <c r="AP24" s="298"/>
      <c r="AQ24" s="313"/>
      <c r="AR24" s="313"/>
      <c r="AS24" s="298"/>
      <c r="AT24" s="288"/>
      <c r="AU24" s="288"/>
      <c r="AV24" s="298"/>
      <c r="AW24" s="313"/>
      <c r="AX24" s="313"/>
      <c r="AY24" s="298"/>
      <c r="AZ24" s="308"/>
      <c r="BA24" s="308"/>
      <c r="BB24" s="308"/>
      <c r="BC24" s="308"/>
      <c r="BD24" s="308"/>
      <c r="BE24" s="308"/>
      <c r="BF24" s="308"/>
      <c r="BG24" s="308"/>
      <c r="BH24" s="308"/>
      <c r="BI24" s="308"/>
      <c r="BJ24" s="308"/>
      <c r="BK24" s="308"/>
      <c r="BL24" s="308"/>
      <c r="BM24" s="308"/>
      <c r="BN24" s="308"/>
      <c r="BO24" s="308"/>
      <c r="BP24" s="308"/>
      <c r="BQ24" s="308"/>
      <c r="BR24" s="308"/>
      <c r="BS24" s="308"/>
      <c r="BT24" s="308"/>
      <c r="BU24" s="308"/>
      <c r="BV24" s="308"/>
      <c r="BW24" s="308"/>
      <c r="BX24" s="308"/>
      <c r="BY24" s="308"/>
    </row>
    <row r="25" spans="1:77" ht="13.5" thickBot="1">
      <c r="A25" s="314" t="s">
        <v>101</v>
      </c>
      <c r="B25" s="330">
        <f t="shared" ref="B25:C29" si="70">D25+G25+J25+M25+P25+S25+V25+Y25+AB25+AE25+AH25+AK25+AN25+AQ25+AT25+AW25</f>
        <v>4</v>
      </c>
      <c r="C25" s="331">
        <f t="shared" si="70"/>
        <v>4</v>
      </c>
      <c r="D25" s="301">
        <f>SUM([1]บช.น.!$AH2:$AH36)</f>
        <v>0</v>
      </c>
      <c r="E25" s="302">
        <f>SUM([1]บช.น.!$AI2:$AI36)</f>
        <v>0</v>
      </c>
      <c r="F25" s="303">
        <f>D25*2</f>
        <v>0</v>
      </c>
      <c r="G25" s="315">
        <f>SUM([1]ภ.1!$AH2:$AH36)</f>
        <v>0</v>
      </c>
      <c r="H25" s="315">
        <f>SUM([1]ภ.1!$AI2:$AI36)</f>
        <v>0</v>
      </c>
      <c r="I25" s="304">
        <f>G25*2</f>
        <v>0</v>
      </c>
      <c r="J25" s="305">
        <f>SUM([1]ภ.2!$AH2:$AH36)</f>
        <v>0</v>
      </c>
      <c r="K25" s="305">
        <f>SUM([1]ภ.2!$AI2:$AI36)</f>
        <v>0</v>
      </c>
      <c r="L25" s="306">
        <f>J25*2</f>
        <v>0</v>
      </c>
      <c r="M25" s="315">
        <f>SUM([1]ภ.3!$AH2:$AH36)</f>
        <v>0</v>
      </c>
      <c r="N25" s="315">
        <f>SUM([1]ภ.3!$AI2:$AI36)</f>
        <v>0</v>
      </c>
      <c r="O25" s="306">
        <f>M25*2</f>
        <v>0</v>
      </c>
      <c r="P25" s="305">
        <f>SUM([1]ภ.4!$AH2:$AH36)</f>
        <v>0</v>
      </c>
      <c r="Q25" s="305">
        <f>SUM([1]ภ.4!$AI2:$AI36)</f>
        <v>0</v>
      </c>
      <c r="R25" s="306">
        <f>P25*2</f>
        <v>0</v>
      </c>
      <c r="S25" s="315">
        <f>SUM([1]ภ.5!$AH2:$AH36)</f>
        <v>1</v>
      </c>
      <c r="T25" s="315">
        <f>SUM([1]ภ.5!$AI2:$AI36)</f>
        <v>1</v>
      </c>
      <c r="U25" s="306">
        <f>S25*2</f>
        <v>2</v>
      </c>
      <c r="V25" s="305">
        <f>SUM([1]ภ.6!$AH2:$AH36)</f>
        <v>0</v>
      </c>
      <c r="W25" s="305">
        <f>SUM([1]ภ.6!$AI2:$AI36)</f>
        <v>0</v>
      </c>
      <c r="X25" s="306">
        <f>V25*2</f>
        <v>0</v>
      </c>
      <c r="Y25" s="315">
        <f>SUM([1]ภ.7!$AH2:$AH36)</f>
        <v>0</v>
      </c>
      <c r="Z25" s="315">
        <f>SUM([1]ภ.7!$AI2:$AI36)</f>
        <v>0</v>
      </c>
      <c r="AA25" s="306">
        <f>Y25*2</f>
        <v>0</v>
      </c>
      <c r="AB25" s="305">
        <f>SUM([1]ภ.8!$AH2:$AH36)</f>
        <v>0</v>
      </c>
      <c r="AC25" s="305">
        <f>SUM([1]ภ.8!$AI2:$AI36)</f>
        <v>0</v>
      </c>
      <c r="AD25" s="306">
        <f>AB25*2</f>
        <v>0</v>
      </c>
      <c r="AE25" s="315">
        <f>SUM([1]ภ.9!$AH2:$AH36)</f>
        <v>0</v>
      </c>
      <c r="AF25" s="315">
        <f>SUM([1]ภ.9!$AI2:$AI36)</f>
        <v>0</v>
      </c>
      <c r="AG25" s="306">
        <f>AE25*2</f>
        <v>0</v>
      </c>
      <c r="AH25" s="305">
        <f>SUM([1]บช.ก.!$AH2:$AH36)</f>
        <v>0</v>
      </c>
      <c r="AI25" s="305">
        <f>SUM([1]บช.ก.!$AI2:$AI36)</f>
        <v>0</v>
      </c>
      <c r="AJ25" s="306">
        <f>AH25*2</f>
        <v>0</v>
      </c>
      <c r="AK25" s="315">
        <f>SUM([1]บช.สอท.!$AH2:$AH36)</f>
        <v>2</v>
      </c>
      <c r="AL25" s="315">
        <f>SUM([1]บช.สอท.!$AI2:$AI36)</f>
        <v>2</v>
      </c>
      <c r="AM25" s="306">
        <f>AK25*2</f>
        <v>4</v>
      </c>
      <c r="AN25" s="305">
        <f>SUM([1]บช.ปส.!$AH2:$AH36)</f>
        <v>0</v>
      </c>
      <c r="AO25" s="305">
        <f>SUM([1]บช.ปส.!$AI2:$AI36)</f>
        <v>0</v>
      </c>
      <c r="AP25" s="306">
        <f>AN25*2</f>
        <v>0</v>
      </c>
      <c r="AQ25" s="315">
        <f>SUM([1]สตม.!$AH2:$AH36)</f>
        <v>0</v>
      </c>
      <c r="AR25" s="315">
        <f>SUM([1]สตม.!$AI2:$AI36)</f>
        <v>0</v>
      </c>
      <c r="AS25" s="306">
        <f>AQ25*2</f>
        <v>0</v>
      </c>
      <c r="AT25" s="305">
        <f>SUM([1]บช.ทท.!$AH2:$AH36)</f>
        <v>1</v>
      </c>
      <c r="AU25" s="305">
        <f>SUM([1]บช.ทท.!$AI2:$AI36)</f>
        <v>1</v>
      </c>
      <c r="AV25" s="306">
        <f>AT25*2</f>
        <v>2</v>
      </c>
      <c r="AW25" s="315">
        <f>SUM([1]บช.ตชด.!$AH2:$AH36)</f>
        <v>0</v>
      </c>
      <c r="AX25" s="315">
        <f>SUM([1]บช.ตชด.!$AI2:$AI36)</f>
        <v>0</v>
      </c>
      <c r="AY25" s="306">
        <f>AW25*2</f>
        <v>0</v>
      </c>
      <c r="AZ25" s="299"/>
      <c r="BA25" s="299"/>
      <c r="BB25" s="299"/>
      <c r="BC25" s="299"/>
      <c r="BD25" s="299"/>
      <c r="BE25" s="299"/>
      <c r="BF25" s="299"/>
      <c r="BG25" s="299"/>
      <c r="BH25" s="299"/>
      <c r="BI25" s="299"/>
      <c r="BJ25" s="299"/>
      <c r="BK25" s="299"/>
      <c r="BL25" s="299"/>
      <c r="BM25" s="299"/>
      <c r="BN25" s="299"/>
      <c r="BO25" s="299"/>
      <c r="BP25" s="299"/>
      <c r="BQ25" s="299"/>
      <c r="BR25" s="299"/>
      <c r="BS25" s="299"/>
      <c r="BT25" s="299"/>
      <c r="BU25" s="299"/>
      <c r="BV25" s="299"/>
      <c r="BW25" s="299"/>
      <c r="BX25" s="299"/>
      <c r="BY25" s="299"/>
    </row>
    <row r="26" spans="1:77" ht="13.5" thickBot="1">
      <c r="A26" s="314" t="s">
        <v>102</v>
      </c>
      <c r="B26" s="330">
        <f t="shared" si="70"/>
        <v>9</v>
      </c>
      <c r="C26" s="331">
        <f t="shared" si="70"/>
        <v>9</v>
      </c>
      <c r="D26" s="301">
        <f>SUM([1]บช.น.!$AJ2:$AJ36)</f>
        <v>0</v>
      </c>
      <c r="E26" s="302">
        <f>SUM([1]บช.น.!$AK2:$AK36)</f>
        <v>0</v>
      </c>
      <c r="F26" s="303">
        <f>D26*3</f>
        <v>0</v>
      </c>
      <c r="G26" s="315">
        <f>SUM([1]ภ.1!$AJ2:$AJ36)</f>
        <v>2</v>
      </c>
      <c r="H26" s="315">
        <f>SUM([1]ภ.1!$AK2:$AK36)</f>
        <v>2</v>
      </c>
      <c r="I26" s="304">
        <f>G26*3</f>
        <v>6</v>
      </c>
      <c r="J26" s="305">
        <f>SUM([1]ภ.2!$AJ2:$AJ36)</f>
        <v>0</v>
      </c>
      <c r="K26" s="305">
        <f>SUM([1]ภ.2!$AK2:$AK36)</f>
        <v>0</v>
      </c>
      <c r="L26" s="307">
        <f>J26*3</f>
        <v>0</v>
      </c>
      <c r="M26" s="315">
        <f>SUM([1]ภ.3!$AJ2:$AJ36)</f>
        <v>0</v>
      </c>
      <c r="N26" s="315">
        <f>SUM([1]ภ.3!$AK2:$AK36)</f>
        <v>0</v>
      </c>
      <c r="O26" s="307">
        <f>M26*3</f>
        <v>0</v>
      </c>
      <c r="P26" s="305">
        <f>SUM([1]ภ.4!$AJ2:$AJ36)</f>
        <v>0</v>
      </c>
      <c r="Q26" s="305">
        <f>SUM([1]ภ.4!$AK2:$AK36)</f>
        <v>0</v>
      </c>
      <c r="R26" s="307">
        <f>P26*3</f>
        <v>0</v>
      </c>
      <c r="S26" s="315">
        <f>SUM([1]ภ.5!$AJ2:$AJ36)</f>
        <v>0</v>
      </c>
      <c r="T26" s="315">
        <f>SUM([1]ภ.5!$AK2:$AK36)</f>
        <v>0</v>
      </c>
      <c r="U26" s="307">
        <f>S26*3</f>
        <v>0</v>
      </c>
      <c r="V26" s="305">
        <f>SUM([1]ภ.6!$AJ2:$AJ36)</f>
        <v>0</v>
      </c>
      <c r="W26" s="305">
        <f>SUM([1]ภ.6!$AK2:$AK36)</f>
        <v>0</v>
      </c>
      <c r="X26" s="307">
        <f>V26*3</f>
        <v>0</v>
      </c>
      <c r="Y26" s="315">
        <f>SUM([1]ภ.7!$AJ2:$AJ36)</f>
        <v>0</v>
      </c>
      <c r="Z26" s="315">
        <f>SUM([1]ภ.7!$AK2:$AK36)</f>
        <v>0</v>
      </c>
      <c r="AA26" s="307">
        <f>Y26*3</f>
        <v>0</v>
      </c>
      <c r="AB26" s="305">
        <f>SUM([1]ภ.8!$AJ2:$AJ36)</f>
        <v>1</v>
      </c>
      <c r="AC26" s="305">
        <f>SUM([1]ภ.8!$AK2:$AK36)</f>
        <v>1</v>
      </c>
      <c r="AD26" s="307">
        <f>AB26*3</f>
        <v>3</v>
      </c>
      <c r="AE26" s="315">
        <f>SUM([1]ภ.9!$AJ2:$AJ36)</f>
        <v>0</v>
      </c>
      <c r="AF26" s="315">
        <f>SUM([1]ภ.9!$AK2:$AK36)</f>
        <v>0</v>
      </c>
      <c r="AG26" s="307">
        <f>AE26*3</f>
        <v>0</v>
      </c>
      <c r="AH26" s="305">
        <f>SUM([1]บช.ก.!$AJ2:$AJ36)</f>
        <v>3</v>
      </c>
      <c r="AI26" s="305">
        <f>SUM([1]บช.ก.!$AK2:$AK36)</f>
        <v>3</v>
      </c>
      <c r="AJ26" s="307">
        <f>AH26*3</f>
        <v>9</v>
      </c>
      <c r="AK26" s="315">
        <f>SUM([1]บช.สอท.!$AJ2:$AJ36)</f>
        <v>3</v>
      </c>
      <c r="AL26" s="315">
        <f>SUM([1]บช.สอท.!$AK2:$AK36)</f>
        <v>3</v>
      </c>
      <c r="AM26" s="307">
        <f>AK26*3</f>
        <v>9</v>
      </c>
      <c r="AN26" s="305">
        <f>SUM([1]บช.ปส.!$AJ2:$AJ36)</f>
        <v>0</v>
      </c>
      <c r="AO26" s="305">
        <f>SUM([1]บช.ปส.!$AK2:$AK36)</f>
        <v>0</v>
      </c>
      <c r="AP26" s="307">
        <f>AN26*3</f>
        <v>0</v>
      </c>
      <c r="AQ26" s="315">
        <f>SUM([1]สตม.!$AJ2:$AJ36)</f>
        <v>0</v>
      </c>
      <c r="AR26" s="315">
        <f>SUM([1]สตม.!$AK2:$AK36)</f>
        <v>0</v>
      </c>
      <c r="AS26" s="307">
        <f>AQ26*3</f>
        <v>0</v>
      </c>
      <c r="AT26" s="305">
        <f>SUM([1]บช.ทท.!$AJ2:$AJ36)</f>
        <v>0</v>
      </c>
      <c r="AU26" s="305">
        <f>SUM([1]บช.ทท.!$AK2:$AK36)</f>
        <v>0</v>
      </c>
      <c r="AV26" s="307">
        <f>AT26*3</f>
        <v>0</v>
      </c>
      <c r="AW26" s="315">
        <f>SUM([1]บช.ตชด.!$AJ2:$AJ36)</f>
        <v>0</v>
      </c>
      <c r="AX26" s="315">
        <f>SUM([1]บช.ตชด.!$AK2:$AK36)</f>
        <v>0</v>
      </c>
      <c r="AY26" s="307">
        <f>AW26*3</f>
        <v>0</v>
      </c>
      <c r="AZ26" s="299"/>
      <c r="BA26" s="299"/>
      <c r="BB26" s="299"/>
      <c r="BC26" s="299"/>
      <c r="BD26" s="299"/>
      <c r="BE26" s="299"/>
      <c r="BF26" s="299"/>
      <c r="BG26" s="299"/>
      <c r="BH26" s="299"/>
      <c r="BI26" s="299"/>
      <c r="BJ26" s="299"/>
      <c r="BK26" s="299"/>
      <c r="BL26" s="299"/>
      <c r="BM26" s="299"/>
      <c r="BN26" s="299"/>
      <c r="BO26" s="299"/>
      <c r="BP26" s="299"/>
      <c r="BQ26" s="299"/>
      <c r="BR26" s="299"/>
      <c r="BS26" s="299"/>
      <c r="BT26" s="299"/>
      <c r="BU26" s="299"/>
      <c r="BV26" s="299"/>
      <c r="BW26" s="299"/>
      <c r="BX26" s="299"/>
      <c r="BY26" s="299"/>
    </row>
    <row r="27" spans="1:77" ht="13.5" thickBot="1">
      <c r="A27" s="314" t="s">
        <v>103</v>
      </c>
      <c r="B27" s="330">
        <f t="shared" si="70"/>
        <v>14</v>
      </c>
      <c r="C27" s="331">
        <f t="shared" si="70"/>
        <v>14</v>
      </c>
      <c r="D27" s="301">
        <f>SUM([1]บช.น.!$AL2:$AL36)</f>
        <v>0</v>
      </c>
      <c r="E27" s="302">
        <f>SUM([1]บช.น.!$AM2:$AM36)</f>
        <v>0</v>
      </c>
      <c r="F27" s="303">
        <f>D27*2</f>
        <v>0</v>
      </c>
      <c r="G27" s="315">
        <f>SUM([1]ภ.1!$AL2:$AL36)</f>
        <v>4</v>
      </c>
      <c r="H27" s="315">
        <f>SUM([1]ภ.1!$AM2:$AM36)</f>
        <v>4</v>
      </c>
      <c r="I27" s="304">
        <f>G27*2</f>
        <v>8</v>
      </c>
      <c r="J27" s="305">
        <f>SUM([1]ภ.2!$AL2:$AL36)</f>
        <v>0</v>
      </c>
      <c r="K27" s="305">
        <f>SUM([1]ภ.2!$AM2:$AM36)</f>
        <v>0</v>
      </c>
      <c r="L27" s="306">
        <f>J27*2</f>
        <v>0</v>
      </c>
      <c r="M27" s="315">
        <f>SUM([1]ภ.3!$AL2:$AL36)</f>
        <v>0</v>
      </c>
      <c r="N27" s="315">
        <f>SUM([1]ภ.3!$AM2:$AM36)</f>
        <v>0</v>
      </c>
      <c r="O27" s="306">
        <f>M27*2</f>
        <v>0</v>
      </c>
      <c r="P27" s="305">
        <f>SUM([1]ภ.4!$AL2:$AL36)</f>
        <v>1</v>
      </c>
      <c r="Q27" s="305">
        <f>SUM([1]ภ.4!$AM2:$AM36)</f>
        <v>1</v>
      </c>
      <c r="R27" s="306">
        <f>P27*2</f>
        <v>2</v>
      </c>
      <c r="S27" s="315">
        <f>SUM([1]ภ.5!$AL2:$AL36)</f>
        <v>0</v>
      </c>
      <c r="T27" s="315">
        <f>SUM([1]ภ.5!$AM2:$AM36)</f>
        <v>0</v>
      </c>
      <c r="U27" s="306">
        <f>S27*2</f>
        <v>0</v>
      </c>
      <c r="V27" s="305">
        <f>SUM([1]ภ.6!$AL2:$AL36)</f>
        <v>0</v>
      </c>
      <c r="W27" s="305">
        <f>SUM([1]ภ.6!$AM2:$AM36)</f>
        <v>0</v>
      </c>
      <c r="X27" s="306">
        <f>V27*2</f>
        <v>0</v>
      </c>
      <c r="Y27" s="315">
        <f>SUM([1]ภ.7!$AL2:$AL36)</f>
        <v>0</v>
      </c>
      <c r="Z27" s="315">
        <f>SUM([1]ภ.7!$AM2:$AM36)</f>
        <v>0</v>
      </c>
      <c r="AA27" s="306">
        <f>Y27*2</f>
        <v>0</v>
      </c>
      <c r="AB27" s="305">
        <f>SUM([1]ภ.8!$AL2:$AL36)</f>
        <v>0</v>
      </c>
      <c r="AC27" s="305">
        <f>SUM([1]ภ.8!$AM2:$AM36)</f>
        <v>0</v>
      </c>
      <c r="AD27" s="306">
        <f>AB27*2</f>
        <v>0</v>
      </c>
      <c r="AE27" s="315">
        <f>SUM([1]ภ.9!$AL2:$AL36)</f>
        <v>0</v>
      </c>
      <c r="AF27" s="315">
        <f>SUM([1]ภ.9!$AM2:$AM36)</f>
        <v>0</v>
      </c>
      <c r="AG27" s="306">
        <f>AE27*2</f>
        <v>0</v>
      </c>
      <c r="AH27" s="305">
        <f>SUM([1]บช.ก.!$AL2:$AL36)</f>
        <v>1</v>
      </c>
      <c r="AI27" s="305">
        <f>SUM([1]บช.ก.!$AM2:$AM36)</f>
        <v>1</v>
      </c>
      <c r="AJ27" s="306">
        <f>AH27*2</f>
        <v>2</v>
      </c>
      <c r="AK27" s="315">
        <f>SUM([1]บช.สอท.!$AL2:$AL36)</f>
        <v>8</v>
      </c>
      <c r="AL27" s="315">
        <f>SUM([1]บช.สอท.!$AM2:$AM36)</f>
        <v>8</v>
      </c>
      <c r="AM27" s="306">
        <f>AK27*2</f>
        <v>16</v>
      </c>
      <c r="AN27" s="305">
        <f>SUM([1]บช.ปส.!$AL2:$AL36)</f>
        <v>0</v>
      </c>
      <c r="AO27" s="305">
        <f>SUM([1]บช.ปส.!$AM2:$AM36)</f>
        <v>0</v>
      </c>
      <c r="AP27" s="306">
        <f>AN27*2</f>
        <v>0</v>
      </c>
      <c r="AQ27" s="315">
        <f>SUM([1]สตม.!$AL2:$AL36)</f>
        <v>0</v>
      </c>
      <c r="AR27" s="315">
        <f>SUM([1]สตม.!$AM2:$AM36)</f>
        <v>0</v>
      </c>
      <c r="AS27" s="306">
        <f>AQ27*2</f>
        <v>0</v>
      </c>
      <c r="AT27" s="305">
        <f>SUM([1]บช.ทท.!$AL2:$AL36)</f>
        <v>0</v>
      </c>
      <c r="AU27" s="305">
        <f>SUM([1]บช.ทท.!$AM2:$AM36)</f>
        <v>0</v>
      </c>
      <c r="AV27" s="306">
        <f>AT27*2</f>
        <v>0</v>
      </c>
      <c r="AW27" s="315">
        <f>SUM([1]บช.ตชด.!$AL2:$AL36)</f>
        <v>0</v>
      </c>
      <c r="AX27" s="315">
        <f>SUM([1]บช.ตชด.!$AM2:$AM36)</f>
        <v>0</v>
      </c>
      <c r="AY27" s="306">
        <f>AW27*2</f>
        <v>0</v>
      </c>
      <c r="AZ27" s="299"/>
      <c r="BA27" s="299"/>
      <c r="BB27" s="299"/>
      <c r="BC27" s="299"/>
      <c r="BD27" s="299"/>
      <c r="BE27" s="299"/>
      <c r="BF27" s="299"/>
      <c r="BG27" s="299"/>
      <c r="BH27" s="299"/>
      <c r="BI27" s="299"/>
      <c r="BJ27" s="299"/>
      <c r="BK27" s="299"/>
      <c r="BL27" s="299"/>
      <c r="BM27" s="299"/>
      <c r="BN27" s="299"/>
      <c r="BO27" s="299"/>
      <c r="BP27" s="299"/>
      <c r="BQ27" s="299"/>
      <c r="BR27" s="299"/>
      <c r="BS27" s="299"/>
      <c r="BT27" s="299"/>
      <c r="BU27" s="299"/>
      <c r="BV27" s="299"/>
      <c r="BW27" s="299"/>
      <c r="BX27" s="299"/>
      <c r="BY27" s="299"/>
    </row>
    <row r="28" spans="1:77" ht="13.5" thickBot="1">
      <c r="A28" s="314" t="s">
        <v>104</v>
      </c>
      <c r="B28" s="330">
        <f t="shared" si="70"/>
        <v>0</v>
      </c>
      <c r="C28" s="331">
        <f t="shared" si="70"/>
        <v>0</v>
      </c>
      <c r="D28" s="301">
        <f>SUM([1]บช.น.!$AN2:$AN36)</f>
        <v>0</v>
      </c>
      <c r="E28" s="302">
        <f>SUM([1]บช.น.!$AO2:$AO36)</f>
        <v>0</v>
      </c>
      <c r="F28" s="303">
        <f>D28*5</f>
        <v>0</v>
      </c>
      <c r="G28" s="315">
        <f>SUM([1]ภ.1!$AN2:$AN36)</f>
        <v>0</v>
      </c>
      <c r="H28" s="315">
        <f>SUM([1]ภ.1!$AO2:$AO36)</f>
        <v>0</v>
      </c>
      <c r="I28" s="304">
        <f>G28*5</f>
        <v>0</v>
      </c>
      <c r="J28" s="305">
        <f>SUM([1]ภ.2!$AN2:$AN36)</f>
        <v>0</v>
      </c>
      <c r="K28" s="305">
        <f>SUM([1]ภ.2!$AO2:$AO36)</f>
        <v>0</v>
      </c>
      <c r="L28" s="307">
        <f>J28*5</f>
        <v>0</v>
      </c>
      <c r="M28" s="315">
        <f>SUM([1]ภ.3!$AN2:$AN36)</f>
        <v>0</v>
      </c>
      <c r="N28" s="315">
        <f>SUM([1]ภ.3!$AO2:$AO36)</f>
        <v>0</v>
      </c>
      <c r="O28" s="307">
        <f>M28*5</f>
        <v>0</v>
      </c>
      <c r="P28" s="305">
        <f>SUM([1]ภ.4!$AN2:$AN36)</f>
        <v>0</v>
      </c>
      <c r="Q28" s="305">
        <f>SUM([1]ภ.4!$AO2:$AO36)</f>
        <v>0</v>
      </c>
      <c r="R28" s="307">
        <f>P28*5</f>
        <v>0</v>
      </c>
      <c r="S28" s="315">
        <f>SUM([1]ภ.5!$AN2:$AN36)</f>
        <v>0</v>
      </c>
      <c r="T28" s="315">
        <f>SUM([1]ภ.5!$AO2:$AO36)</f>
        <v>0</v>
      </c>
      <c r="U28" s="307">
        <f>S28*5</f>
        <v>0</v>
      </c>
      <c r="V28" s="305">
        <f>SUM([1]ภ.6!$AN2:$AN36)</f>
        <v>0</v>
      </c>
      <c r="W28" s="305">
        <f>SUM([1]ภ.6!$AO2:$AO36)</f>
        <v>0</v>
      </c>
      <c r="X28" s="307">
        <f>V28*5</f>
        <v>0</v>
      </c>
      <c r="Y28" s="315">
        <f>SUM([1]ภ.7!$AN2:$AN36)</f>
        <v>0</v>
      </c>
      <c r="Z28" s="315">
        <f>SUM([1]ภ.7!$AO2:$AO36)</f>
        <v>0</v>
      </c>
      <c r="AA28" s="307">
        <f>Y28*5</f>
        <v>0</v>
      </c>
      <c r="AB28" s="305">
        <f>SUM([1]ภ.8!$AN2:$AN36)</f>
        <v>0</v>
      </c>
      <c r="AC28" s="305">
        <f>SUM([1]ภ.8!$AO2:$AO36)</f>
        <v>0</v>
      </c>
      <c r="AD28" s="307">
        <f>AB28*5</f>
        <v>0</v>
      </c>
      <c r="AE28" s="315">
        <f>SUM([1]ภ.9!$AN2:$AN36)</f>
        <v>0</v>
      </c>
      <c r="AF28" s="315">
        <f>SUM([1]ภ.9!$AO2:$AO36)</f>
        <v>0</v>
      </c>
      <c r="AG28" s="307">
        <f>AE28*5</f>
        <v>0</v>
      </c>
      <c r="AH28" s="305">
        <f>SUM([1]บช.ก.!$AN2:$AN36)</f>
        <v>0</v>
      </c>
      <c r="AI28" s="305">
        <f>SUM([1]บช.ก.!$AO2:$AO36)</f>
        <v>0</v>
      </c>
      <c r="AJ28" s="307">
        <f>AH28*5</f>
        <v>0</v>
      </c>
      <c r="AK28" s="315">
        <f>SUM([1]บช.สอท.!$AN2:$AN36)</f>
        <v>0</v>
      </c>
      <c r="AL28" s="315">
        <f>SUM([1]บช.สอท.!$AO2:$AO36)</f>
        <v>0</v>
      </c>
      <c r="AM28" s="307">
        <f>AK28*5</f>
        <v>0</v>
      </c>
      <c r="AN28" s="305">
        <f>SUM([1]บช.ปส.!$AN2:$AN36)</f>
        <v>0</v>
      </c>
      <c r="AO28" s="305">
        <f>SUM([1]บช.ปส.!$AO2:$AO36)</f>
        <v>0</v>
      </c>
      <c r="AP28" s="307">
        <f>AN28*5</f>
        <v>0</v>
      </c>
      <c r="AQ28" s="315">
        <f>SUM([1]สตม.!$AN2:$AN36)</f>
        <v>0</v>
      </c>
      <c r="AR28" s="315">
        <f>SUM([1]สตม.!$AO2:$AO36)</f>
        <v>0</v>
      </c>
      <c r="AS28" s="307">
        <f>AQ28*5</f>
        <v>0</v>
      </c>
      <c r="AT28" s="305">
        <f>SUM([1]บช.ทท.!$AN2:$AN36)</f>
        <v>0</v>
      </c>
      <c r="AU28" s="305">
        <f>SUM([1]บช.ทท.!$AO2:$AO36)</f>
        <v>0</v>
      </c>
      <c r="AV28" s="307">
        <f>AT28*5</f>
        <v>0</v>
      </c>
      <c r="AW28" s="315">
        <f>SUM([1]บช.ตชด.!$AN2:$AN36)</f>
        <v>0</v>
      </c>
      <c r="AX28" s="315">
        <f>SUM([1]บช.ตชด.!$AO2:$AO36)</f>
        <v>0</v>
      </c>
      <c r="AY28" s="307">
        <f>AW28*5</f>
        <v>0</v>
      </c>
      <c r="AZ28" s="299"/>
      <c r="BA28" s="299"/>
      <c r="BB28" s="299"/>
      <c r="BC28" s="299"/>
      <c r="BD28" s="299"/>
      <c r="BE28" s="299"/>
      <c r="BF28" s="299"/>
      <c r="BG28" s="299"/>
      <c r="BH28" s="299"/>
      <c r="BI28" s="299"/>
      <c r="BJ28" s="299"/>
      <c r="BK28" s="299"/>
      <c r="BL28" s="299"/>
      <c r="BM28" s="299"/>
      <c r="BN28" s="299"/>
      <c r="BO28" s="299"/>
      <c r="BP28" s="299"/>
      <c r="BQ28" s="299"/>
      <c r="BR28" s="299"/>
      <c r="BS28" s="299"/>
      <c r="BT28" s="299"/>
      <c r="BU28" s="299"/>
      <c r="BV28" s="299"/>
      <c r="BW28" s="299"/>
      <c r="BX28" s="299"/>
      <c r="BY28" s="299"/>
    </row>
    <row r="29" spans="1:77" ht="13.5" thickBot="1">
      <c r="A29" s="314" t="s">
        <v>105</v>
      </c>
      <c r="B29" s="330">
        <f t="shared" si="70"/>
        <v>1</v>
      </c>
      <c r="C29" s="331">
        <f t="shared" si="70"/>
        <v>0</v>
      </c>
      <c r="D29" s="301">
        <f>SUM([1]บช.น.!$AP2:$AP36)</f>
        <v>0</v>
      </c>
      <c r="E29" s="302">
        <f>SUM([1]บช.น.!$AQ2:$AQ36)</f>
        <v>0</v>
      </c>
      <c r="F29" s="303">
        <f>D29*2</f>
        <v>0</v>
      </c>
      <c r="G29" s="315">
        <f>SUM([1]ภ.1!$AP2:$AP36)</f>
        <v>0</v>
      </c>
      <c r="H29" s="315">
        <f>SUM([1]ภ.1!$AQ2:$AQ36)</f>
        <v>0</v>
      </c>
      <c r="I29" s="305">
        <f>G29*2</f>
        <v>0</v>
      </c>
      <c r="J29" s="305">
        <f>SUM([1]ภ.2!$AP2:$AP36)</f>
        <v>0</v>
      </c>
      <c r="K29" s="305">
        <f>SUM([1]ภ.2!$AQ2:$AQ36)</f>
        <v>0</v>
      </c>
      <c r="L29" s="306">
        <f>J29*2</f>
        <v>0</v>
      </c>
      <c r="M29" s="315">
        <f>SUM([1]ภ.3!$AP2:$AP36)</f>
        <v>0</v>
      </c>
      <c r="N29" s="315">
        <f>SUM([1]ภ.3!$AQ2:$AQ36)</f>
        <v>0</v>
      </c>
      <c r="O29" s="306">
        <f>M29*2</f>
        <v>0</v>
      </c>
      <c r="P29" s="305">
        <f>SUM([1]ภ.4!$AP2:$AP36)</f>
        <v>1</v>
      </c>
      <c r="Q29" s="305">
        <f>SUM([1]ภ.4!$AQ2:$AQ36)</f>
        <v>0</v>
      </c>
      <c r="R29" s="306">
        <f>P29*2</f>
        <v>2</v>
      </c>
      <c r="S29" s="315">
        <f>SUM([1]ภ.5!$AP2:$AP36)</f>
        <v>0</v>
      </c>
      <c r="T29" s="315">
        <f>SUM([1]ภ.5!$AQ2:$AQ36)</f>
        <v>0</v>
      </c>
      <c r="U29" s="306">
        <f>S29*2</f>
        <v>0</v>
      </c>
      <c r="V29" s="305">
        <f>SUM([1]ภ.6!$AP2:$AP36)</f>
        <v>0</v>
      </c>
      <c r="W29" s="305">
        <f>SUM([1]ภ.6!$AQ2:$AQ36)</f>
        <v>0</v>
      </c>
      <c r="X29" s="306">
        <f>V29*2</f>
        <v>0</v>
      </c>
      <c r="Y29" s="315">
        <f>SUM([1]ภ.7!$AP2:$AP36)</f>
        <v>0</v>
      </c>
      <c r="Z29" s="315">
        <f>SUM([1]ภ.7!$AQ2:$AQ36)</f>
        <v>0</v>
      </c>
      <c r="AA29" s="306">
        <f>Y29*2</f>
        <v>0</v>
      </c>
      <c r="AB29" s="305">
        <f>SUM([1]ภ.8!$AP2:$AP36)</f>
        <v>0</v>
      </c>
      <c r="AC29" s="305">
        <f>SUM([1]ภ.8!$AQ2:$AQ36)</f>
        <v>0</v>
      </c>
      <c r="AD29" s="306">
        <f>AB29*2</f>
        <v>0</v>
      </c>
      <c r="AE29" s="315">
        <f>SUM([1]ภ.9!$AP2:$AP36)</f>
        <v>0</v>
      </c>
      <c r="AF29" s="315">
        <f>SUM([1]ภ.9!$AQ2:$AQ36)</f>
        <v>0</v>
      </c>
      <c r="AG29" s="306">
        <f>AE29*2</f>
        <v>0</v>
      </c>
      <c r="AH29" s="305">
        <f>SUM([1]บช.ก.!$AP2:$AP36)</f>
        <v>0</v>
      </c>
      <c r="AI29" s="305">
        <f>SUM([1]บช.ก.!$AQ2:$AQ36)</f>
        <v>0</v>
      </c>
      <c r="AJ29" s="306">
        <f>AH29*2</f>
        <v>0</v>
      </c>
      <c r="AK29" s="315">
        <f>SUM([1]บช.สอท.!$AP2:$AP36)</f>
        <v>0</v>
      </c>
      <c r="AL29" s="315">
        <f>SUM([1]บช.สอท.!$AQ2:$AQ36)</f>
        <v>0</v>
      </c>
      <c r="AM29" s="306">
        <f>AK29*2</f>
        <v>0</v>
      </c>
      <c r="AN29" s="305">
        <f>SUM([1]บช.ปส.!$AP2:$AP36)</f>
        <v>0</v>
      </c>
      <c r="AO29" s="305">
        <f>SUM([1]บช.ปส.!$AQ2:$AQ36)</f>
        <v>0</v>
      </c>
      <c r="AP29" s="306">
        <f>AN29*2</f>
        <v>0</v>
      </c>
      <c r="AQ29" s="315">
        <f>SUM([1]สตม.!$AP2:$AP36)</f>
        <v>0</v>
      </c>
      <c r="AR29" s="315">
        <f>SUM([1]สตม.!$AQ2:$AQ36)</f>
        <v>0</v>
      </c>
      <c r="AS29" s="306">
        <f>AQ29*2</f>
        <v>0</v>
      </c>
      <c r="AT29" s="305">
        <f>SUM([1]บช.ทท.!$AP2:$AP36)</f>
        <v>0</v>
      </c>
      <c r="AU29" s="305">
        <f>SUM([1]บช.ทท.!$AQ2:$AQ36)</f>
        <v>0</v>
      </c>
      <c r="AV29" s="306">
        <f>AT29*2</f>
        <v>0</v>
      </c>
      <c r="AW29" s="315">
        <f>SUM([1]บช.ตชด.!$AP2:$AP36)</f>
        <v>0</v>
      </c>
      <c r="AX29" s="315">
        <f>SUM([1]บช.ตชด.!$AQ2:$AQ36)</f>
        <v>0</v>
      </c>
      <c r="AY29" s="306">
        <f>AW29*2</f>
        <v>0</v>
      </c>
      <c r="AZ29" s="299"/>
      <c r="BA29" s="299"/>
      <c r="BB29" s="299"/>
      <c r="BC29" s="299"/>
      <c r="BD29" s="299"/>
      <c r="BE29" s="299"/>
      <c r="BF29" s="299"/>
      <c r="BG29" s="299"/>
      <c r="BH29" s="299"/>
      <c r="BI29" s="299"/>
      <c r="BJ29" s="299"/>
      <c r="BK29" s="299"/>
      <c r="BL29" s="299"/>
      <c r="BM29" s="299"/>
      <c r="BN29" s="299"/>
      <c r="BO29" s="299"/>
      <c r="BP29" s="299"/>
      <c r="BQ29" s="299"/>
      <c r="BR29" s="299"/>
      <c r="BS29" s="299"/>
      <c r="BT29" s="299"/>
      <c r="BU29" s="299"/>
      <c r="BV29" s="299"/>
      <c r="BW29" s="299"/>
      <c r="BX29" s="299"/>
      <c r="BY29" s="299"/>
    </row>
    <row r="30" spans="1:77" s="321" customFormat="1" ht="13.9" customHeight="1" thickBot="1">
      <c r="A30" s="336" t="s">
        <v>32</v>
      </c>
      <c r="B30" s="334">
        <f t="shared" ref="B30:AY30" si="71">SUM(B25:B29)</f>
        <v>28</v>
      </c>
      <c r="C30" s="335">
        <f t="shared" si="71"/>
        <v>27</v>
      </c>
      <c r="D30" s="260">
        <f t="shared" si="71"/>
        <v>0</v>
      </c>
      <c r="E30" s="318">
        <f t="shared" si="71"/>
        <v>0</v>
      </c>
      <c r="F30" s="261">
        <f t="shared" si="71"/>
        <v>0</v>
      </c>
      <c r="G30" s="288">
        <f t="shared" si="71"/>
        <v>6</v>
      </c>
      <c r="H30" s="288">
        <f t="shared" si="71"/>
        <v>6</v>
      </c>
      <c r="I30" s="288">
        <f t="shared" si="71"/>
        <v>14</v>
      </c>
      <c r="J30" s="288">
        <f t="shared" si="71"/>
        <v>0</v>
      </c>
      <c r="K30" s="288">
        <f t="shared" si="71"/>
        <v>0</v>
      </c>
      <c r="L30" s="297">
        <f t="shared" si="71"/>
        <v>0</v>
      </c>
      <c r="M30" s="288">
        <f t="shared" si="71"/>
        <v>0</v>
      </c>
      <c r="N30" s="288">
        <f t="shared" si="71"/>
        <v>0</v>
      </c>
      <c r="O30" s="297">
        <f t="shared" si="71"/>
        <v>0</v>
      </c>
      <c r="P30" s="288">
        <f t="shared" si="71"/>
        <v>2</v>
      </c>
      <c r="Q30" s="288">
        <f t="shared" si="71"/>
        <v>1</v>
      </c>
      <c r="R30" s="297">
        <f t="shared" si="71"/>
        <v>4</v>
      </c>
      <c r="S30" s="288">
        <f t="shared" si="71"/>
        <v>1</v>
      </c>
      <c r="T30" s="288">
        <f t="shared" si="71"/>
        <v>1</v>
      </c>
      <c r="U30" s="297">
        <f t="shared" si="71"/>
        <v>2</v>
      </c>
      <c r="V30" s="288">
        <f t="shared" si="71"/>
        <v>0</v>
      </c>
      <c r="W30" s="288">
        <f t="shared" si="71"/>
        <v>0</v>
      </c>
      <c r="X30" s="297">
        <f t="shared" si="71"/>
        <v>0</v>
      </c>
      <c r="Y30" s="288">
        <f t="shared" si="71"/>
        <v>0</v>
      </c>
      <c r="Z30" s="288">
        <f t="shared" si="71"/>
        <v>0</v>
      </c>
      <c r="AA30" s="297">
        <f t="shared" si="71"/>
        <v>0</v>
      </c>
      <c r="AB30" s="288">
        <f t="shared" si="71"/>
        <v>1</v>
      </c>
      <c r="AC30" s="288">
        <f t="shared" si="71"/>
        <v>1</v>
      </c>
      <c r="AD30" s="297">
        <f t="shared" si="71"/>
        <v>3</v>
      </c>
      <c r="AE30" s="288">
        <f t="shared" si="71"/>
        <v>0</v>
      </c>
      <c r="AF30" s="288">
        <f t="shared" si="71"/>
        <v>0</v>
      </c>
      <c r="AG30" s="297">
        <f t="shared" si="71"/>
        <v>0</v>
      </c>
      <c r="AH30" s="288">
        <f t="shared" si="71"/>
        <v>4</v>
      </c>
      <c r="AI30" s="288">
        <f t="shared" si="71"/>
        <v>4</v>
      </c>
      <c r="AJ30" s="297">
        <f t="shared" si="71"/>
        <v>11</v>
      </c>
      <c r="AK30" s="288">
        <f t="shared" si="71"/>
        <v>13</v>
      </c>
      <c r="AL30" s="288">
        <f t="shared" si="71"/>
        <v>13</v>
      </c>
      <c r="AM30" s="297">
        <f t="shared" si="71"/>
        <v>29</v>
      </c>
      <c r="AN30" s="288">
        <f t="shared" si="71"/>
        <v>0</v>
      </c>
      <c r="AO30" s="288">
        <f t="shared" si="71"/>
        <v>0</v>
      </c>
      <c r="AP30" s="297">
        <f t="shared" si="71"/>
        <v>0</v>
      </c>
      <c r="AQ30" s="288">
        <f t="shared" si="71"/>
        <v>0</v>
      </c>
      <c r="AR30" s="288">
        <f t="shared" si="71"/>
        <v>0</v>
      </c>
      <c r="AS30" s="297">
        <f t="shared" si="71"/>
        <v>0</v>
      </c>
      <c r="AT30" s="288">
        <f t="shared" si="71"/>
        <v>1</v>
      </c>
      <c r="AU30" s="288">
        <f t="shared" si="71"/>
        <v>1</v>
      </c>
      <c r="AV30" s="297">
        <f t="shared" si="71"/>
        <v>2</v>
      </c>
      <c r="AW30" s="288">
        <f t="shared" si="71"/>
        <v>0</v>
      </c>
      <c r="AX30" s="288">
        <f t="shared" si="71"/>
        <v>0</v>
      </c>
      <c r="AY30" s="297">
        <f t="shared" si="71"/>
        <v>0</v>
      </c>
      <c r="AZ30" s="265"/>
      <c r="BA30" s="265"/>
      <c r="BB30" s="265"/>
      <c r="BC30" s="265"/>
      <c r="BD30" s="265"/>
      <c r="BE30" s="265"/>
      <c r="BF30" s="265"/>
      <c r="BG30" s="265"/>
      <c r="BH30" s="265"/>
      <c r="BI30" s="265"/>
      <c r="BJ30" s="265"/>
      <c r="BK30" s="265"/>
      <c r="BL30" s="265"/>
      <c r="BM30" s="265"/>
      <c r="BN30" s="265"/>
      <c r="BO30" s="265"/>
      <c r="BP30" s="265"/>
      <c r="BQ30" s="265"/>
      <c r="BR30" s="265"/>
      <c r="BS30" s="265"/>
      <c r="BT30" s="265"/>
      <c r="BU30" s="265"/>
      <c r="BV30" s="265"/>
      <c r="BW30" s="265"/>
      <c r="BX30" s="265"/>
      <c r="BY30" s="265"/>
    </row>
    <row r="31" spans="1:77" ht="13.5" thickBot="1">
      <c r="A31" s="316" t="s">
        <v>70</v>
      </c>
      <c r="B31" s="332"/>
      <c r="C31" s="333"/>
      <c r="D31" s="310"/>
      <c r="E31" s="311"/>
      <c r="F31" s="312"/>
      <c r="G31" s="313"/>
      <c r="H31" s="313"/>
      <c r="I31" s="286"/>
      <c r="J31" s="288"/>
      <c r="K31" s="288"/>
      <c r="L31" s="290"/>
      <c r="M31" s="313"/>
      <c r="N31" s="313"/>
      <c r="O31" s="290"/>
      <c r="P31" s="288"/>
      <c r="Q31" s="288"/>
      <c r="R31" s="290"/>
      <c r="S31" s="313"/>
      <c r="T31" s="313"/>
      <c r="U31" s="290"/>
      <c r="V31" s="288"/>
      <c r="W31" s="288"/>
      <c r="X31" s="290"/>
      <c r="Y31" s="313"/>
      <c r="Z31" s="313"/>
      <c r="AA31" s="290"/>
      <c r="AB31" s="288"/>
      <c r="AC31" s="288"/>
      <c r="AD31" s="290"/>
      <c r="AE31" s="313"/>
      <c r="AF31" s="313"/>
      <c r="AG31" s="290"/>
      <c r="AH31" s="288"/>
      <c r="AI31" s="288"/>
      <c r="AJ31" s="290"/>
      <c r="AK31" s="313"/>
      <c r="AL31" s="313"/>
      <c r="AM31" s="290"/>
      <c r="AN31" s="288"/>
      <c r="AO31" s="288"/>
      <c r="AP31" s="290"/>
      <c r="AQ31" s="313"/>
      <c r="AR31" s="313"/>
      <c r="AS31" s="290"/>
      <c r="AT31" s="288"/>
      <c r="AU31" s="288"/>
      <c r="AV31" s="290"/>
      <c r="AW31" s="313"/>
      <c r="AX31" s="313"/>
      <c r="AY31" s="290"/>
      <c r="AZ31" s="308"/>
      <c r="BA31" s="308"/>
      <c r="BB31" s="308"/>
      <c r="BC31" s="308"/>
      <c r="BD31" s="308"/>
      <c r="BE31" s="308"/>
      <c r="BF31" s="308"/>
      <c r="BG31" s="308"/>
      <c r="BH31" s="308"/>
      <c r="BI31" s="308"/>
      <c r="BJ31" s="308"/>
      <c r="BK31" s="308"/>
      <c r="BL31" s="308"/>
      <c r="BM31" s="308"/>
      <c r="BN31" s="308"/>
      <c r="BO31" s="308"/>
      <c r="BP31" s="308"/>
      <c r="BQ31" s="308"/>
      <c r="BR31" s="308"/>
      <c r="BS31" s="308"/>
      <c r="BT31" s="308"/>
      <c r="BU31" s="308"/>
      <c r="BV31" s="308"/>
      <c r="BW31" s="308"/>
      <c r="BX31" s="308"/>
      <c r="BY31" s="308"/>
    </row>
    <row r="32" spans="1:77" ht="13.5" thickBot="1">
      <c r="A32" s="314" t="s">
        <v>106</v>
      </c>
      <c r="B32" s="330">
        <f t="shared" ref="B32:C34" si="72">D32+G32+J32+M32+P32+S32+V32+Y32+AB32+AE32+AH32+AK32+AN32+AQ32+AT32+AW32</f>
        <v>86</v>
      </c>
      <c r="C32" s="331">
        <f t="shared" si="72"/>
        <v>112</v>
      </c>
      <c r="D32" s="301">
        <f>SUM([1]บช.น.!$AR2:$AR36)</f>
        <v>1</v>
      </c>
      <c r="E32" s="302">
        <f>SUM([1]บช.น.!$AS2:$AS36)</f>
        <v>1</v>
      </c>
      <c r="F32" s="303">
        <f>D32*2</f>
        <v>2</v>
      </c>
      <c r="G32" s="315">
        <f>SUM([1]ภ.1!$AR2:$AR36)</f>
        <v>11</v>
      </c>
      <c r="H32" s="315">
        <f>SUM([1]ภ.1!$AS2:$AS36)</f>
        <v>18</v>
      </c>
      <c r="I32" s="304">
        <f>G32*2</f>
        <v>22</v>
      </c>
      <c r="J32" s="305">
        <f>SUM([1]ภ.2!$AR2:$AR36)</f>
        <v>3</v>
      </c>
      <c r="K32" s="305">
        <f>SUM([1]ภ.2!$AS2:$AS36)</f>
        <v>7</v>
      </c>
      <c r="L32" s="307">
        <f>J32*2</f>
        <v>6</v>
      </c>
      <c r="M32" s="315">
        <f>SUM([1]ภ.3!$AR2:$AR36)</f>
        <v>15</v>
      </c>
      <c r="N32" s="315">
        <f>SUM([1]ภ.3!$AS2:$AS36)</f>
        <v>15</v>
      </c>
      <c r="O32" s="307">
        <f>M32*2</f>
        <v>30</v>
      </c>
      <c r="P32" s="305">
        <f>SUM([1]ภ.4!$AR2:$AR36)</f>
        <v>6</v>
      </c>
      <c r="Q32" s="305">
        <f>SUM([1]ภ.4!$AS2:$AS36)</f>
        <v>6</v>
      </c>
      <c r="R32" s="307">
        <f>P32*2</f>
        <v>12</v>
      </c>
      <c r="S32" s="315">
        <f>SUM([1]ภ.5!$AR2:$AR36)</f>
        <v>2</v>
      </c>
      <c r="T32" s="315">
        <f>SUM([1]ภ.5!$AS2:$AS36)</f>
        <v>3</v>
      </c>
      <c r="U32" s="307">
        <f>S32*2</f>
        <v>4</v>
      </c>
      <c r="V32" s="305">
        <f>SUM([1]ภ.6!$AR2:$AR36)</f>
        <v>1</v>
      </c>
      <c r="W32" s="305">
        <f>SUM([1]ภ.6!$AS2:$AS36)</f>
        <v>1</v>
      </c>
      <c r="X32" s="307">
        <f>V32*2</f>
        <v>2</v>
      </c>
      <c r="Y32" s="315">
        <f>SUM([1]ภ.7!$AR2:$AR36)</f>
        <v>7</v>
      </c>
      <c r="Z32" s="315">
        <f>SUM([1]ภ.7!$AS2:$AS36)</f>
        <v>7</v>
      </c>
      <c r="AA32" s="307">
        <f>Y32*2</f>
        <v>14</v>
      </c>
      <c r="AB32" s="305">
        <f>SUM([1]ภ.8!$AR2:$AR36)</f>
        <v>5</v>
      </c>
      <c r="AC32" s="305">
        <f>SUM([1]ภ.8!$AS2:$AS36)</f>
        <v>5</v>
      </c>
      <c r="AD32" s="307">
        <f>AB32*2</f>
        <v>10</v>
      </c>
      <c r="AE32" s="315">
        <f>SUM([1]ภ.9!$AR2:$AR36)</f>
        <v>2</v>
      </c>
      <c r="AF32" s="315">
        <f>SUM([1]ภ.9!$AS2:$AS36)</f>
        <v>4</v>
      </c>
      <c r="AG32" s="307">
        <f>AE32*2</f>
        <v>4</v>
      </c>
      <c r="AH32" s="305">
        <f>SUM([1]บช.ก.!$AR2:$AR36)</f>
        <v>0</v>
      </c>
      <c r="AI32" s="305">
        <f>SUM([1]บช.ก.!$AS2:$AS36)</f>
        <v>0</v>
      </c>
      <c r="AJ32" s="307">
        <f>AH32*2</f>
        <v>0</v>
      </c>
      <c r="AK32" s="315">
        <f>SUM([1]บช.สอท.!$AR2:$AR36)</f>
        <v>26</v>
      </c>
      <c r="AL32" s="315">
        <f>SUM([1]บช.สอท.!$AS2:$AS36)</f>
        <v>36</v>
      </c>
      <c r="AM32" s="307">
        <f>AK32*2</f>
        <v>52</v>
      </c>
      <c r="AN32" s="305">
        <f>SUM([1]บช.ปส.!$AR2:$AR36)</f>
        <v>0</v>
      </c>
      <c r="AO32" s="305">
        <f>SUM([1]บช.ปส.!$AS2:$AS36)</f>
        <v>0</v>
      </c>
      <c r="AP32" s="307">
        <f>AN32*2</f>
        <v>0</v>
      </c>
      <c r="AQ32" s="315">
        <f>SUM([1]สตม.!$AR2:$AR36)</f>
        <v>6</v>
      </c>
      <c r="AR32" s="315">
        <f>SUM([1]สตม.!$AS2:$AS36)</f>
        <v>8</v>
      </c>
      <c r="AS32" s="307">
        <f>AQ32*2</f>
        <v>12</v>
      </c>
      <c r="AT32" s="305">
        <f>SUM([1]บช.ทท.!$AR2:$AR36)</f>
        <v>1</v>
      </c>
      <c r="AU32" s="305">
        <f>SUM([1]บช.ทท.!$AS2:$AS36)</f>
        <v>1</v>
      </c>
      <c r="AV32" s="307">
        <f>AT32*2</f>
        <v>2</v>
      </c>
      <c r="AW32" s="315">
        <f>SUM([1]บช.ตชด.!$AR2:$AR36)</f>
        <v>0</v>
      </c>
      <c r="AX32" s="315">
        <f>SUM([1]บช.ตชด.!$AS2:$AS36)</f>
        <v>0</v>
      </c>
      <c r="AY32" s="307">
        <f>AW32*2</f>
        <v>0</v>
      </c>
      <c r="AZ32" s="299"/>
      <c r="BA32" s="299"/>
      <c r="BB32" s="299"/>
      <c r="BC32" s="299"/>
      <c r="BD32" s="299"/>
      <c r="BE32" s="299"/>
      <c r="BF32" s="299"/>
      <c r="BG32" s="299"/>
      <c r="BH32" s="299"/>
      <c r="BI32" s="299"/>
      <c r="BJ32" s="299"/>
      <c r="BK32" s="299"/>
      <c r="BL32" s="299"/>
      <c r="BM32" s="299"/>
      <c r="BN32" s="299"/>
      <c r="BO32" s="299"/>
      <c r="BP32" s="299"/>
      <c r="BQ32" s="299"/>
      <c r="BR32" s="299"/>
      <c r="BS32" s="299"/>
      <c r="BT32" s="299"/>
      <c r="BU32" s="299"/>
      <c r="BV32" s="299"/>
      <c r="BW32" s="299"/>
      <c r="BX32" s="299"/>
      <c r="BY32" s="299"/>
    </row>
    <row r="33" spans="1:77" ht="13.5" thickBot="1">
      <c r="A33" s="314" t="s">
        <v>107</v>
      </c>
      <c r="B33" s="330">
        <f t="shared" si="72"/>
        <v>1</v>
      </c>
      <c r="C33" s="331">
        <f t="shared" si="72"/>
        <v>1</v>
      </c>
      <c r="D33" s="301">
        <f>SUM([1]บช.น.!$AT2:$AT36)</f>
        <v>0</v>
      </c>
      <c r="E33" s="302">
        <f>SUM([1]บช.น.!$AU$2:$AU36)</f>
        <v>0</v>
      </c>
      <c r="F33" s="303">
        <f>D33*5</f>
        <v>0</v>
      </c>
      <c r="G33" s="315">
        <f>SUM([1]ภ.1!$AT2:$AT36)</f>
        <v>1</v>
      </c>
      <c r="H33" s="315">
        <f>SUM([1]ภ.1!$AU$2:$AU36)</f>
        <v>1</v>
      </c>
      <c r="I33" s="304">
        <f>G33*5</f>
        <v>5</v>
      </c>
      <c r="J33" s="305">
        <f>SUM([1]ภ.2!$AT2:$AT36)</f>
        <v>0</v>
      </c>
      <c r="K33" s="305">
        <f>SUM([1]ภ.2!$AU$2:$AU36)</f>
        <v>0</v>
      </c>
      <c r="L33" s="306">
        <f>J33*5</f>
        <v>0</v>
      </c>
      <c r="M33" s="315">
        <f>SUM([1]ภ.3!$AT2:$AT36)</f>
        <v>0</v>
      </c>
      <c r="N33" s="315">
        <f>SUM([1]ภ.3!$AU$2:$AU36)</f>
        <v>0</v>
      </c>
      <c r="O33" s="306">
        <f>M33*5</f>
        <v>0</v>
      </c>
      <c r="P33" s="305">
        <f>SUM([1]ภ.4!$AT2:$AT36)</f>
        <v>0</v>
      </c>
      <c r="Q33" s="305">
        <f>SUM([1]ภ.4!$AU$2:$AU36)</f>
        <v>0</v>
      </c>
      <c r="R33" s="306">
        <f>P33*5</f>
        <v>0</v>
      </c>
      <c r="S33" s="315">
        <f>SUM([1]ภ.5!$AT2:$AT36)</f>
        <v>0</v>
      </c>
      <c r="T33" s="315">
        <f>SUM([1]ภ.5!$AU$2:$AU36)</f>
        <v>0</v>
      </c>
      <c r="U33" s="306">
        <f>S33*5</f>
        <v>0</v>
      </c>
      <c r="V33" s="305">
        <f>SUM([1]ภ.6!$AT2:$AT36)</f>
        <v>0</v>
      </c>
      <c r="W33" s="305">
        <f>SUM([1]ภ.6!$AU$2:$AU36)</f>
        <v>0</v>
      </c>
      <c r="X33" s="306">
        <f>V33*5</f>
        <v>0</v>
      </c>
      <c r="Y33" s="315">
        <f>SUM([1]ภ.7!$AT2:$AT36)</f>
        <v>0</v>
      </c>
      <c r="Z33" s="315">
        <f>SUM([1]ภ.7!$AU$2:$AU36)</f>
        <v>0</v>
      </c>
      <c r="AA33" s="306">
        <f>Y33*5</f>
        <v>0</v>
      </c>
      <c r="AB33" s="305">
        <f>SUM([1]ภ.8!$AT2:$AT36)</f>
        <v>0</v>
      </c>
      <c r="AC33" s="305">
        <f>SUM([1]ภ.8!$AU$2:$AU36)</f>
        <v>0</v>
      </c>
      <c r="AD33" s="306">
        <f>AB33*5</f>
        <v>0</v>
      </c>
      <c r="AE33" s="315">
        <f>SUM([1]ภ.9!$AT2:$AT36)</f>
        <v>0</v>
      </c>
      <c r="AF33" s="315">
        <f>SUM([1]ภ.9!$AU$2:$AU36)</f>
        <v>0</v>
      </c>
      <c r="AG33" s="306">
        <f>AE33*5</f>
        <v>0</v>
      </c>
      <c r="AH33" s="305">
        <f>SUM([1]บช.ก.!$AT2:$AT36)</f>
        <v>0</v>
      </c>
      <c r="AI33" s="305">
        <f>SUM([1]บช.ก.!$AU$2:$AU36)</f>
        <v>0</v>
      </c>
      <c r="AJ33" s="306">
        <f>AH33*5</f>
        <v>0</v>
      </c>
      <c r="AK33" s="315">
        <f>SUM([1]บช.สอท.!$AT2:$AT36)</f>
        <v>0</v>
      </c>
      <c r="AL33" s="315">
        <f>SUM([1]บช.สอท.!$AU$2:$AU36)</f>
        <v>0</v>
      </c>
      <c r="AM33" s="306">
        <f>AK33*5</f>
        <v>0</v>
      </c>
      <c r="AN33" s="305">
        <f>SUM([1]บช.ปส.!$AT2:$AT36)</f>
        <v>0</v>
      </c>
      <c r="AO33" s="305">
        <f>SUM([1]บช.ปส.!$AU$2:$AU36)</f>
        <v>0</v>
      </c>
      <c r="AP33" s="306">
        <f>AN33*5</f>
        <v>0</v>
      </c>
      <c r="AQ33" s="315">
        <f>SUM([1]สตม.!$AT2:$AT36)</f>
        <v>0</v>
      </c>
      <c r="AR33" s="315">
        <f>SUM([1]สตม.!$AU$2:$AU36)</f>
        <v>0</v>
      </c>
      <c r="AS33" s="306">
        <f>AQ33*5</f>
        <v>0</v>
      </c>
      <c r="AT33" s="305">
        <f>SUM([1]บช.ทท.!$AT2:$AT36)</f>
        <v>0</v>
      </c>
      <c r="AU33" s="305">
        <f>SUM([1]บช.ทท.!$AU$2:$AU36)</f>
        <v>0</v>
      </c>
      <c r="AV33" s="306">
        <f>AT33*5</f>
        <v>0</v>
      </c>
      <c r="AW33" s="315">
        <f>SUM([1]บช.ตชด.!$AT2:$AT36)</f>
        <v>0</v>
      </c>
      <c r="AX33" s="315">
        <f>SUM([1]บช.ตชด.!$AU$2:$AU36)</f>
        <v>0</v>
      </c>
      <c r="AY33" s="306">
        <f>AW33*5</f>
        <v>0</v>
      </c>
      <c r="AZ33" s="299"/>
      <c r="BA33" s="299"/>
      <c r="BB33" s="299"/>
      <c r="BC33" s="299"/>
      <c r="BD33" s="299"/>
      <c r="BE33" s="299"/>
      <c r="BF33" s="299"/>
      <c r="BG33" s="299"/>
      <c r="BH33" s="299"/>
      <c r="BI33" s="299"/>
      <c r="BJ33" s="299"/>
      <c r="BK33" s="299"/>
      <c r="BL33" s="299"/>
      <c r="BM33" s="299"/>
      <c r="BN33" s="299"/>
      <c r="BO33" s="299"/>
      <c r="BP33" s="299"/>
      <c r="BQ33" s="299"/>
      <c r="BR33" s="299"/>
      <c r="BS33" s="299"/>
      <c r="BT33" s="299"/>
      <c r="BU33" s="299"/>
      <c r="BV33" s="299"/>
      <c r="BW33" s="299"/>
      <c r="BX33" s="299"/>
      <c r="BY33" s="299"/>
    </row>
    <row r="34" spans="1:77" ht="13.5" thickBot="1">
      <c r="A34" s="314" t="s">
        <v>108</v>
      </c>
      <c r="B34" s="330">
        <f t="shared" si="72"/>
        <v>13</v>
      </c>
      <c r="C34" s="331">
        <f t="shared" si="72"/>
        <v>23</v>
      </c>
      <c r="D34" s="301">
        <f>SUM([1]บช.น.!$AV2:$AV36)</f>
        <v>0</v>
      </c>
      <c r="E34" s="302">
        <f>SUM([1]บช.น.!$AW2:$AW36)</f>
        <v>0</v>
      </c>
      <c r="F34" s="303">
        <f>D34*2</f>
        <v>0</v>
      </c>
      <c r="G34" s="315">
        <f>SUM([1]ภ.1!$AV2:$AV36)</f>
        <v>0</v>
      </c>
      <c r="H34" s="315">
        <f>SUM([1]ภ.1!$AW2:$AW36)</f>
        <v>0</v>
      </c>
      <c r="I34" s="304">
        <f>G34*2</f>
        <v>0</v>
      </c>
      <c r="J34" s="305">
        <f>SUM([1]ภ.2!$AV2:$AV36)</f>
        <v>0</v>
      </c>
      <c r="K34" s="305">
        <f>SUM([1]ภ.2!$AW2:$AW36)</f>
        <v>0</v>
      </c>
      <c r="L34" s="307">
        <f>J34*2</f>
        <v>0</v>
      </c>
      <c r="M34" s="315">
        <f>SUM([1]ภ.3!$AV2:$AV36)</f>
        <v>0</v>
      </c>
      <c r="N34" s="315">
        <f>SUM([1]ภ.3!$AW2:$AW36)</f>
        <v>0</v>
      </c>
      <c r="O34" s="307">
        <f>M34*2</f>
        <v>0</v>
      </c>
      <c r="P34" s="305">
        <f>SUM([1]ภ.4!$AV2:$AV36)</f>
        <v>1</v>
      </c>
      <c r="Q34" s="305">
        <f>SUM([1]ภ.4!$AW2:$AW36)</f>
        <v>1</v>
      </c>
      <c r="R34" s="307">
        <f>P34*2</f>
        <v>2</v>
      </c>
      <c r="S34" s="315">
        <f>SUM([1]ภ.5!$AV2:$AV36)</f>
        <v>0</v>
      </c>
      <c r="T34" s="315">
        <f>SUM([1]ภ.5!$AW2:$AW36)</f>
        <v>0</v>
      </c>
      <c r="U34" s="307">
        <f>S34*2</f>
        <v>0</v>
      </c>
      <c r="V34" s="305">
        <f>SUM([1]ภ.6!$AV2:$AV36)</f>
        <v>1</v>
      </c>
      <c r="W34" s="305">
        <f>SUM([1]ภ.6!$AW2:$AW36)</f>
        <v>2</v>
      </c>
      <c r="X34" s="307">
        <f>V34*2</f>
        <v>2</v>
      </c>
      <c r="Y34" s="315">
        <f>SUM([1]ภ.7!$AV2:$AV36)</f>
        <v>0</v>
      </c>
      <c r="Z34" s="315">
        <f>SUM([1]ภ.7!$AW2:$AW36)</f>
        <v>0</v>
      </c>
      <c r="AA34" s="307">
        <f>Y34*2</f>
        <v>0</v>
      </c>
      <c r="AB34" s="305">
        <f>SUM([1]ภ.8!$AV2:$AV36)</f>
        <v>1</v>
      </c>
      <c r="AC34" s="305">
        <f>SUM([1]ภ.8!$AW2:$AW36)</f>
        <v>1</v>
      </c>
      <c r="AD34" s="307">
        <f>AB34*2</f>
        <v>2</v>
      </c>
      <c r="AE34" s="315">
        <f>SUM([1]ภ.9!$AV2:$AV36)</f>
        <v>0</v>
      </c>
      <c r="AF34" s="315">
        <f>SUM([1]ภ.9!$AW2:$AW36)</f>
        <v>0</v>
      </c>
      <c r="AG34" s="307">
        <f>AE34*2</f>
        <v>0</v>
      </c>
      <c r="AH34" s="305">
        <f>SUM([1]บช.ก.!$AV2:$AV36)</f>
        <v>10</v>
      </c>
      <c r="AI34" s="305">
        <f>SUM([1]บช.ก.!$AW2:$AW36)</f>
        <v>19</v>
      </c>
      <c r="AJ34" s="307">
        <f>AH34*2</f>
        <v>20</v>
      </c>
      <c r="AK34" s="315">
        <f>SUM([1]บช.สอท.!$AV2:$AV36)</f>
        <v>0</v>
      </c>
      <c r="AL34" s="315">
        <f>SUM([1]บช.สอท.!$AW2:$AW36)</f>
        <v>0</v>
      </c>
      <c r="AM34" s="307">
        <f>AK34*2</f>
        <v>0</v>
      </c>
      <c r="AN34" s="305">
        <f>SUM([1]บช.ปส.!$AV2:$AV36)</f>
        <v>0</v>
      </c>
      <c r="AO34" s="305">
        <f>SUM([1]บช.ปส.!$AW2:$AW36)</f>
        <v>0</v>
      </c>
      <c r="AP34" s="307">
        <f>AN34*2</f>
        <v>0</v>
      </c>
      <c r="AQ34" s="315">
        <f>SUM([1]สตม.!$AV2:$AV36)</f>
        <v>0</v>
      </c>
      <c r="AR34" s="315">
        <f>SUM([1]สตม.!$AW2:$AW36)</f>
        <v>0</v>
      </c>
      <c r="AS34" s="307">
        <f>AQ34*2</f>
        <v>0</v>
      </c>
      <c r="AT34" s="305">
        <f>SUM([1]บช.ทท.!$AV2:$AV36)</f>
        <v>0</v>
      </c>
      <c r="AU34" s="305">
        <f>SUM([1]บช.ทท.!$AW2:$AW36)</f>
        <v>0</v>
      </c>
      <c r="AV34" s="307">
        <f>AT34*2</f>
        <v>0</v>
      </c>
      <c r="AW34" s="315">
        <f>SUM([1]บช.ตชด.!$AV2:$AV36)</f>
        <v>0</v>
      </c>
      <c r="AX34" s="315">
        <f>SUM([1]บช.ตชด.!$AW2:$AW36)</f>
        <v>0</v>
      </c>
      <c r="AY34" s="307">
        <f>AW34*2</f>
        <v>0</v>
      </c>
      <c r="AZ34" s="299"/>
      <c r="BA34" s="299"/>
      <c r="BB34" s="299"/>
      <c r="BC34" s="299"/>
      <c r="BD34" s="299"/>
      <c r="BE34" s="299"/>
      <c r="BF34" s="299"/>
      <c r="BG34" s="299"/>
      <c r="BH34" s="299"/>
      <c r="BI34" s="299"/>
      <c r="BJ34" s="299"/>
      <c r="BK34" s="299"/>
      <c r="BL34" s="299"/>
      <c r="BM34" s="299"/>
      <c r="BN34" s="299"/>
      <c r="BO34" s="299"/>
      <c r="BP34" s="299"/>
      <c r="BQ34" s="299"/>
      <c r="BR34" s="299"/>
      <c r="BS34" s="299"/>
      <c r="BT34" s="299"/>
      <c r="BU34" s="299"/>
      <c r="BV34" s="299"/>
      <c r="BW34" s="299"/>
      <c r="BX34" s="299"/>
      <c r="BY34" s="299"/>
    </row>
    <row r="35" spans="1:77" s="320" customFormat="1" ht="14.45" customHeight="1" thickBot="1">
      <c r="A35" s="336" t="s">
        <v>32</v>
      </c>
      <c r="B35" s="334">
        <f t="shared" ref="B35:AY35" si="73">SUM(B32:B34)</f>
        <v>100</v>
      </c>
      <c r="C35" s="335">
        <f t="shared" si="73"/>
        <v>136</v>
      </c>
      <c r="D35" s="260">
        <f t="shared" si="73"/>
        <v>1</v>
      </c>
      <c r="E35" s="318">
        <f t="shared" si="73"/>
        <v>1</v>
      </c>
      <c r="F35" s="261">
        <f t="shared" si="73"/>
        <v>2</v>
      </c>
      <c r="G35" s="288">
        <f t="shared" si="73"/>
        <v>12</v>
      </c>
      <c r="H35" s="288">
        <f t="shared" si="73"/>
        <v>19</v>
      </c>
      <c r="I35" s="288">
        <f t="shared" si="73"/>
        <v>27</v>
      </c>
      <c r="J35" s="288">
        <f t="shared" si="73"/>
        <v>3</v>
      </c>
      <c r="K35" s="288">
        <f t="shared" si="73"/>
        <v>7</v>
      </c>
      <c r="L35" s="286">
        <f t="shared" si="73"/>
        <v>6</v>
      </c>
      <c r="M35" s="288">
        <f t="shared" si="73"/>
        <v>15</v>
      </c>
      <c r="N35" s="288">
        <f t="shared" si="73"/>
        <v>15</v>
      </c>
      <c r="O35" s="286">
        <f t="shared" si="73"/>
        <v>30</v>
      </c>
      <c r="P35" s="288">
        <f t="shared" si="73"/>
        <v>7</v>
      </c>
      <c r="Q35" s="288">
        <f t="shared" si="73"/>
        <v>7</v>
      </c>
      <c r="R35" s="286">
        <f t="shared" si="73"/>
        <v>14</v>
      </c>
      <c r="S35" s="288">
        <f t="shared" si="73"/>
        <v>2</v>
      </c>
      <c r="T35" s="288">
        <f t="shared" si="73"/>
        <v>3</v>
      </c>
      <c r="U35" s="286">
        <f t="shared" si="73"/>
        <v>4</v>
      </c>
      <c r="V35" s="288">
        <f t="shared" si="73"/>
        <v>2</v>
      </c>
      <c r="W35" s="288">
        <f t="shared" si="73"/>
        <v>3</v>
      </c>
      <c r="X35" s="286">
        <f t="shared" si="73"/>
        <v>4</v>
      </c>
      <c r="Y35" s="288">
        <f t="shared" si="73"/>
        <v>7</v>
      </c>
      <c r="Z35" s="288">
        <f t="shared" si="73"/>
        <v>7</v>
      </c>
      <c r="AA35" s="286">
        <f t="shared" si="73"/>
        <v>14</v>
      </c>
      <c r="AB35" s="288">
        <f t="shared" si="73"/>
        <v>6</v>
      </c>
      <c r="AC35" s="288">
        <f t="shared" si="73"/>
        <v>6</v>
      </c>
      <c r="AD35" s="286">
        <f t="shared" si="73"/>
        <v>12</v>
      </c>
      <c r="AE35" s="288">
        <f t="shared" si="73"/>
        <v>2</v>
      </c>
      <c r="AF35" s="288">
        <f t="shared" si="73"/>
        <v>4</v>
      </c>
      <c r="AG35" s="286">
        <f t="shared" si="73"/>
        <v>4</v>
      </c>
      <c r="AH35" s="288">
        <f t="shared" si="73"/>
        <v>10</v>
      </c>
      <c r="AI35" s="288">
        <f t="shared" si="73"/>
        <v>19</v>
      </c>
      <c r="AJ35" s="286">
        <f t="shared" si="73"/>
        <v>20</v>
      </c>
      <c r="AK35" s="288">
        <f t="shared" si="73"/>
        <v>26</v>
      </c>
      <c r="AL35" s="288">
        <f t="shared" si="73"/>
        <v>36</v>
      </c>
      <c r="AM35" s="286">
        <f t="shared" si="73"/>
        <v>52</v>
      </c>
      <c r="AN35" s="288">
        <f t="shared" si="73"/>
        <v>0</v>
      </c>
      <c r="AO35" s="288">
        <f t="shared" si="73"/>
        <v>0</v>
      </c>
      <c r="AP35" s="286">
        <f t="shared" si="73"/>
        <v>0</v>
      </c>
      <c r="AQ35" s="288">
        <f t="shared" si="73"/>
        <v>6</v>
      </c>
      <c r="AR35" s="288">
        <f t="shared" si="73"/>
        <v>8</v>
      </c>
      <c r="AS35" s="286">
        <f t="shared" si="73"/>
        <v>12</v>
      </c>
      <c r="AT35" s="288">
        <f t="shared" si="73"/>
        <v>1</v>
      </c>
      <c r="AU35" s="288">
        <f t="shared" si="73"/>
        <v>1</v>
      </c>
      <c r="AV35" s="286">
        <f t="shared" si="73"/>
        <v>2</v>
      </c>
      <c r="AW35" s="288">
        <f t="shared" si="73"/>
        <v>0</v>
      </c>
      <c r="AX35" s="288">
        <f t="shared" si="73"/>
        <v>0</v>
      </c>
      <c r="AY35" s="286">
        <f t="shared" si="73"/>
        <v>0</v>
      </c>
      <c r="AZ35" s="265"/>
      <c r="BA35" s="265"/>
      <c r="BB35" s="265"/>
      <c r="BC35" s="265"/>
      <c r="BD35" s="265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  <c r="BS35" s="265"/>
      <c r="BT35" s="265"/>
      <c r="BU35" s="265"/>
      <c r="BV35" s="265"/>
      <c r="BW35" s="265"/>
      <c r="BX35" s="265"/>
      <c r="BY35" s="265"/>
    </row>
    <row r="36" spans="1:77">
      <c r="L36" s="317"/>
      <c r="O36" s="317"/>
      <c r="R36" s="317"/>
      <c r="U36" s="317"/>
      <c r="X36" s="317"/>
      <c r="AA36" s="317"/>
      <c r="AD36" s="317"/>
      <c r="AG36" s="317"/>
      <c r="AJ36" s="317"/>
      <c r="AM36" s="317"/>
      <c r="AP36" s="317"/>
      <c r="AS36" s="317"/>
      <c r="AV36" s="317"/>
      <c r="AY36" s="317"/>
    </row>
  </sheetData>
  <mergeCells count="20">
    <mergeCell ref="Y2:AA2"/>
    <mergeCell ref="B1:C1"/>
    <mergeCell ref="D1:I1"/>
    <mergeCell ref="A2:A3"/>
    <mergeCell ref="B2:C2"/>
    <mergeCell ref="D2:F2"/>
    <mergeCell ref="G2:I2"/>
    <mergeCell ref="J2:L2"/>
    <mergeCell ref="M2:O2"/>
    <mergeCell ref="P2:R2"/>
    <mergeCell ref="S2:U2"/>
    <mergeCell ref="V2:X2"/>
    <mergeCell ref="AT2:AV2"/>
    <mergeCell ref="AW2:AY2"/>
    <mergeCell ref="AB2:AD2"/>
    <mergeCell ref="AE2:AG2"/>
    <mergeCell ref="AH2:AJ2"/>
    <mergeCell ref="AK2:AM2"/>
    <mergeCell ref="AN2:AP2"/>
    <mergeCell ref="AQ2:AS2"/>
  </mergeCells>
  <pageMargins left="0.23622047244094491" right="0.23622047244094491" top="0.74803149606299213" bottom="0.74803149606299213" header="0.31496062992125984" footer="0.31496062992125984"/>
  <pageSetup paperSize="9" orientation="landscape" r:id="rId1"/>
  <colBreaks count="2" manualBreakCount="2">
    <brk id="18" max="1048575" man="1"/>
    <brk id="36" max="1048575" man="1"/>
  </colBreaks>
  <ignoredErrors>
    <ignoredError sqref="I33 F33 F28 F26 I26 I28 L26 L28 L33 O26 O28 O33 R26:AY3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80000"/>
    <outlinePr summaryBelow="0" summaryRight="0"/>
  </sheetPr>
  <dimension ref="A1:V54"/>
  <sheetViews>
    <sheetView showGridLines="0" tabSelected="1" topLeftCell="A13" workbookViewId="0">
      <selection activeCell="V34" sqref="V34"/>
    </sheetView>
  </sheetViews>
  <sheetFormatPr defaultColWidth="14.42578125" defaultRowHeight="15.75" customHeight="1"/>
  <cols>
    <col min="1" max="1" width="2.28515625" customWidth="1"/>
    <col min="2" max="2" width="9.7109375" customWidth="1"/>
    <col min="3" max="4" width="5.42578125" customWidth="1"/>
    <col min="5" max="5" width="7" customWidth="1"/>
    <col min="6" max="6" width="8.140625" customWidth="1"/>
    <col min="7" max="7" width="5.85546875" customWidth="1"/>
    <col min="8" max="8" width="7" customWidth="1"/>
    <col min="9" max="9" width="8.140625" customWidth="1"/>
    <col min="10" max="10" width="8.42578125" customWidth="1"/>
    <col min="11" max="12" width="5.85546875" customWidth="1"/>
    <col min="13" max="13" width="7.5703125" customWidth="1"/>
    <col min="14" max="20" width="5.85546875" customWidth="1"/>
  </cols>
  <sheetData>
    <row r="1" spans="1:22" ht="23.25">
      <c r="A1" s="60"/>
      <c r="B1" s="68" t="s">
        <v>59</v>
      </c>
      <c r="C1" s="69"/>
      <c r="D1" s="69"/>
      <c r="E1" s="69"/>
      <c r="F1" s="69"/>
      <c r="G1" s="69"/>
      <c r="H1" s="70"/>
      <c r="J1" s="69"/>
      <c r="K1" s="70"/>
      <c r="L1" s="70"/>
      <c r="Q1" s="71"/>
      <c r="R1" s="687"/>
      <c r="S1" s="635"/>
      <c r="T1" s="635"/>
      <c r="V1" s="61"/>
    </row>
    <row r="2" spans="1:22" ht="55.5" customHeight="1">
      <c r="A2" s="60"/>
      <c r="B2" s="72" t="s">
        <v>60</v>
      </c>
      <c r="I2" s="73"/>
    </row>
    <row r="3" spans="1:22" ht="22.5" customHeight="1">
      <c r="A3" s="60"/>
    </row>
    <row r="4" spans="1:22" ht="22.5" customHeight="1">
      <c r="A4" s="60"/>
    </row>
    <row r="5" spans="1:22" ht="22.5" customHeight="1">
      <c r="A5" s="60"/>
    </row>
    <row r="6" spans="1:22" ht="22.5" customHeight="1">
      <c r="A6" s="60"/>
    </row>
    <row r="7" spans="1:22" ht="22.5" customHeight="1">
      <c r="A7" s="60"/>
    </row>
    <row r="8" spans="1:22" ht="22.5" customHeight="1">
      <c r="A8" s="60"/>
    </row>
    <row r="9" spans="1:22" ht="22.5" customHeight="1">
      <c r="A9" s="60"/>
    </row>
    <row r="10" spans="1:22" ht="22.5" customHeight="1">
      <c r="A10" s="1"/>
    </row>
    <row r="11" spans="1:22" ht="22.5" customHeight="1">
      <c r="A11" s="1"/>
    </row>
    <row r="12" spans="1:22" ht="22.5" customHeight="1">
      <c r="A12" s="1"/>
    </row>
    <row r="13" spans="1:22" ht="22.5" customHeight="1">
      <c r="A13" s="1"/>
    </row>
    <row r="14" spans="1:22" ht="98.25" customHeight="1">
      <c r="A14" s="1"/>
    </row>
    <row r="15" spans="1:22" ht="23.25">
      <c r="A15" s="1"/>
      <c r="B15" s="72" t="s">
        <v>61</v>
      </c>
    </row>
    <row r="16" spans="1:22" ht="12.75">
      <c r="A16" s="1"/>
    </row>
    <row r="17" spans="1:1" ht="42" customHeight="1">
      <c r="A17" s="1"/>
    </row>
    <row r="18" spans="1:1" ht="12.75">
      <c r="A18" s="1"/>
    </row>
    <row r="19" spans="1:1" ht="12.75">
      <c r="A19" s="1"/>
    </row>
    <row r="20" spans="1:1" ht="14.25">
      <c r="A20" s="62"/>
    </row>
    <row r="21" spans="1:1" ht="12.75">
      <c r="A21" s="1"/>
    </row>
    <row r="22" spans="1:1" ht="14.25">
      <c r="A22" s="62"/>
    </row>
    <row r="23" spans="1:1" ht="14.25">
      <c r="A23" s="62"/>
    </row>
    <row r="24" spans="1:1" ht="14.25">
      <c r="A24" s="62"/>
    </row>
    <row r="25" spans="1:1" ht="14.25">
      <c r="A25" s="62"/>
    </row>
    <row r="34" spans="2:13" ht="100.5" customHeight="1"/>
    <row r="35" spans="2:13" ht="23.25">
      <c r="B35" s="72" t="s">
        <v>62</v>
      </c>
    </row>
    <row r="37" spans="2:13" ht="11.25" customHeight="1">
      <c r="B37" s="74" t="s">
        <v>60</v>
      </c>
      <c r="F37" s="74" t="s">
        <v>61</v>
      </c>
      <c r="J37" s="74" t="s">
        <v>63</v>
      </c>
    </row>
    <row r="38" spans="2:13" ht="11.25" customHeight="1">
      <c r="B38" s="75" t="s">
        <v>56</v>
      </c>
      <c r="C38" s="76" t="s">
        <v>21</v>
      </c>
      <c r="D38" s="77" t="s">
        <v>22</v>
      </c>
      <c r="E38" s="78" t="s">
        <v>53</v>
      </c>
      <c r="F38" s="75" t="s">
        <v>56</v>
      </c>
      <c r="G38" s="76" t="s">
        <v>21</v>
      </c>
      <c r="H38" s="77" t="s">
        <v>22</v>
      </c>
      <c r="I38" s="78" t="s">
        <v>53</v>
      </c>
      <c r="J38" s="75" t="s">
        <v>56</v>
      </c>
      <c r="K38" s="76" t="s">
        <v>21</v>
      </c>
      <c r="L38" s="77" t="s">
        <v>22</v>
      </c>
      <c r="M38" s="78" t="s">
        <v>53</v>
      </c>
    </row>
    <row r="39" spans="2:13" ht="11.25" customHeight="1">
      <c r="B39" s="63" t="s">
        <v>11</v>
      </c>
      <c r="C39" s="64">
        <f ca="1">รวมคะแนน!B10</f>
        <v>530</v>
      </c>
      <c r="D39" s="64">
        <f ca="1">รวมคะแนน!C10</f>
        <v>639</v>
      </c>
      <c r="E39" s="79">
        <f ca="1">รวมคะแนน!D10</f>
        <v>489.5</v>
      </c>
      <c r="F39" s="63" t="s">
        <v>11</v>
      </c>
      <c r="G39" s="64">
        <f ca="1">รวมคะแนน!B17</f>
        <v>26</v>
      </c>
      <c r="H39" s="64">
        <f ca="1">รวมคะแนน!C17</f>
        <v>27</v>
      </c>
      <c r="I39" s="64">
        <f ca="1">รวมคะแนน!D17</f>
        <v>89</v>
      </c>
      <c r="J39" s="63" t="s">
        <v>11</v>
      </c>
      <c r="K39" s="64">
        <f>รวมคะแนน!B18</f>
        <v>588</v>
      </c>
      <c r="L39" s="64">
        <f>รวมคะแนน!C18</f>
        <v>0</v>
      </c>
      <c r="M39" s="64">
        <f>รวมคะแนน!D18</f>
        <v>2313.13</v>
      </c>
    </row>
    <row r="40" spans="2:13" ht="11.25" customHeight="1">
      <c r="B40" s="65" t="s">
        <v>9</v>
      </c>
      <c r="C40" s="66">
        <f ca="1">รวมคะแนน!E10</f>
        <v>1127</v>
      </c>
      <c r="D40" s="66">
        <f ca="1">รวมคะแนน!F10</f>
        <v>1263</v>
      </c>
      <c r="E40" s="80">
        <f ca="1">รวมคะแนน!G10</f>
        <v>1415</v>
      </c>
      <c r="F40" s="65" t="s">
        <v>9</v>
      </c>
      <c r="G40" s="64">
        <f ca="1">รวมคะแนน!E17</f>
        <v>51</v>
      </c>
      <c r="H40" s="64">
        <f ca="1">รวมคะแนน!F17</f>
        <v>50</v>
      </c>
      <c r="I40" s="64">
        <f ca="1">รวมคะแนน!G17</f>
        <v>155</v>
      </c>
      <c r="J40" s="65" t="s">
        <v>9</v>
      </c>
      <c r="K40" s="64">
        <f ca="1">รวมคะแนน!E18</f>
        <v>640</v>
      </c>
      <c r="L40" s="64">
        <f>รวมคะแนน!F18</f>
        <v>0</v>
      </c>
      <c r="M40" s="64">
        <f>รวมคะแนน!G18</f>
        <v>3600.15</v>
      </c>
    </row>
    <row r="41" spans="2:13" ht="11.25" customHeight="1">
      <c r="B41" s="63" t="s">
        <v>4</v>
      </c>
      <c r="C41" s="64">
        <f ca="1">รวมคะแนน!H10</f>
        <v>1358</v>
      </c>
      <c r="D41" s="64">
        <f ca="1">รวมคะแนน!I10</f>
        <v>1525</v>
      </c>
      <c r="E41" s="79">
        <f ca="1">รวมคะแนน!J10</f>
        <v>1556</v>
      </c>
      <c r="F41" s="63" t="s">
        <v>4</v>
      </c>
      <c r="G41" s="64">
        <f ca="1">รวมคะแนน!H17</f>
        <v>16</v>
      </c>
      <c r="H41" s="64">
        <f ca="1">รวมคะแนน!I17</f>
        <v>21</v>
      </c>
      <c r="I41" s="64">
        <f ca="1">รวมคะแนน!J17</f>
        <v>52</v>
      </c>
      <c r="J41" s="63" t="s">
        <v>4</v>
      </c>
      <c r="K41" s="64">
        <f>รวมคะแนน!H18</f>
        <v>576</v>
      </c>
      <c r="L41" s="64">
        <f>รวมคะแนน!I18</f>
        <v>0</v>
      </c>
      <c r="M41" s="64">
        <f>รวมคะแนน!J18</f>
        <v>2110.98</v>
      </c>
    </row>
    <row r="42" spans="2:13" ht="11.25" customHeight="1">
      <c r="B42" s="63" t="s">
        <v>2</v>
      </c>
      <c r="C42" s="64">
        <f ca="1">รวมคะแนน!K10</f>
        <v>1558</v>
      </c>
      <c r="D42" s="64">
        <f ca="1">รวมคะแนน!L10</f>
        <v>1680</v>
      </c>
      <c r="E42" s="79">
        <f ca="1">รวมคะแนน!M10</f>
        <v>2374</v>
      </c>
      <c r="F42" s="63" t="s">
        <v>2</v>
      </c>
      <c r="G42" s="64">
        <f ca="1">รวมคะแนน!K17</f>
        <v>24</v>
      </c>
      <c r="H42" s="64">
        <f ca="1">รวมคะแนน!L17</f>
        <v>24</v>
      </c>
      <c r="I42" s="64">
        <f ca="1">รวมคะแนน!M17</f>
        <v>58</v>
      </c>
      <c r="J42" s="63" t="s">
        <v>2</v>
      </c>
      <c r="K42" s="64">
        <f>รวมคะแนน!K18</f>
        <v>331</v>
      </c>
      <c r="L42" s="64">
        <f>รวมคะแนน!L18</f>
        <v>0</v>
      </c>
      <c r="M42" s="64">
        <f>รวมคะแนน!M18</f>
        <v>1795.47</v>
      </c>
    </row>
    <row r="43" spans="2:13" ht="11.25" customHeight="1">
      <c r="B43" s="63" t="s">
        <v>0</v>
      </c>
      <c r="C43" s="64">
        <f ca="1">รวมคะแนน!N10</f>
        <v>4892</v>
      </c>
      <c r="D43" s="64">
        <f ca="1">รวมคะแนน!O10</f>
        <v>5196</v>
      </c>
      <c r="E43" s="79">
        <f ca="1">รวมคะแนน!P10</f>
        <v>5724.5</v>
      </c>
      <c r="F43" s="63" t="s">
        <v>0</v>
      </c>
      <c r="G43" s="64">
        <f ca="1">รวมคะแนน!N17</f>
        <v>55</v>
      </c>
      <c r="H43" s="64">
        <f ca="1">รวมคะแนน!O17</f>
        <v>54</v>
      </c>
      <c r="I43" s="64">
        <f ca="1">รวมคะแนน!P17</f>
        <v>191</v>
      </c>
      <c r="J43" s="63" t="s">
        <v>0</v>
      </c>
      <c r="K43" s="64">
        <f>รวมคะแนน!N18</f>
        <v>656</v>
      </c>
      <c r="L43" s="64">
        <f>รวมคะแนน!O18</f>
        <v>0</v>
      </c>
      <c r="M43" s="64">
        <f>รวมคะแนน!P18</f>
        <v>2855.47</v>
      </c>
    </row>
    <row r="44" spans="2:13" ht="11.25" customHeight="1">
      <c r="B44" s="63" t="s">
        <v>14</v>
      </c>
      <c r="C44" s="64">
        <f ca="1">รวมคะแนน!Q10</f>
        <v>572</v>
      </c>
      <c r="D44" s="64">
        <f ca="1">รวมคะแนน!R10</f>
        <v>474</v>
      </c>
      <c r="E44" s="79">
        <f ca="1">รวมคะแนน!S10</f>
        <v>897.5</v>
      </c>
      <c r="F44" s="63" t="s">
        <v>14</v>
      </c>
      <c r="G44" s="64">
        <f ca="1">รวมคะแนน!Q17</f>
        <v>25</v>
      </c>
      <c r="H44" s="64">
        <f ca="1">รวมคะแนน!R17</f>
        <v>26</v>
      </c>
      <c r="I44" s="64">
        <f ca="1">รวมคะแนน!S17</f>
        <v>78</v>
      </c>
      <c r="J44" s="63" t="s">
        <v>14</v>
      </c>
      <c r="K44" s="64">
        <f ca="1">รวมคะแนน!Q18</f>
        <v>563</v>
      </c>
      <c r="L44" s="64">
        <f>รวมคะแนน!R18</f>
        <v>0</v>
      </c>
      <c r="M44" s="64">
        <f>รวมคะแนน!S18</f>
        <v>1877.6</v>
      </c>
    </row>
    <row r="45" spans="2:13" ht="11.25" customHeight="1">
      <c r="B45" s="63" t="s">
        <v>15</v>
      </c>
      <c r="C45" s="64">
        <f ca="1">รวมคะแนน!T10</f>
        <v>787</v>
      </c>
      <c r="D45" s="64">
        <f ca="1">รวมคะแนน!U10</f>
        <v>855</v>
      </c>
      <c r="E45" s="79">
        <f ca="1">รวมคะแนน!V10</f>
        <v>778</v>
      </c>
      <c r="F45" s="63" t="s">
        <v>15</v>
      </c>
      <c r="G45" s="64">
        <f ca="1">รวมคะแนน!T17</f>
        <v>12</v>
      </c>
      <c r="H45" s="64">
        <f ca="1">รวมคะแนน!U17</f>
        <v>12</v>
      </c>
      <c r="I45" s="64">
        <f ca="1">รวมคะแนน!V17</f>
        <v>40</v>
      </c>
      <c r="J45" s="63" t="s">
        <v>15</v>
      </c>
      <c r="K45" s="64">
        <f>รวมคะแนน!T18</f>
        <v>348</v>
      </c>
      <c r="L45" s="64">
        <f>รวมคะแนน!U18</f>
        <v>0</v>
      </c>
      <c r="M45" s="64">
        <f>รวมคะแนน!V18</f>
        <v>980.09</v>
      </c>
    </row>
    <row r="46" spans="2:13" ht="11.25" customHeight="1">
      <c r="B46" s="63" t="s">
        <v>1</v>
      </c>
      <c r="C46" s="64">
        <f ca="1">รวมคะแนน!W10</f>
        <v>1018</v>
      </c>
      <c r="D46" s="64">
        <f ca="1">รวมคะแนน!X10</f>
        <v>1185</v>
      </c>
      <c r="E46" s="79">
        <f ca="1">รวมคะแนน!Y10</f>
        <v>1221.5</v>
      </c>
      <c r="F46" s="63" t="s">
        <v>1</v>
      </c>
      <c r="G46" s="64">
        <f ca="1">รวมคะแนน!W17</f>
        <v>26</v>
      </c>
      <c r="H46" s="64">
        <f ca="1">รวมคะแนน!X17</f>
        <v>27</v>
      </c>
      <c r="I46" s="64">
        <f ca="1">รวมคะแนน!Y17</f>
        <v>77</v>
      </c>
      <c r="J46" s="63" t="s">
        <v>1</v>
      </c>
      <c r="K46" s="64">
        <f ca="1">รวมคะแนน!W18</f>
        <v>402</v>
      </c>
      <c r="L46" s="64">
        <f>รวมคะแนน!X18</f>
        <v>0</v>
      </c>
      <c r="M46" s="64">
        <f>รวมคะแนน!Y18</f>
        <v>1579.43</v>
      </c>
    </row>
    <row r="47" spans="2:13" ht="11.25" customHeight="1">
      <c r="B47" s="63" t="s">
        <v>3</v>
      </c>
      <c r="C47" s="64">
        <f ca="1">รวมคะแนน!Z10</f>
        <v>800</v>
      </c>
      <c r="D47" s="64">
        <f ca="1">รวมคะแนน!AA10</f>
        <v>917</v>
      </c>
      <c r="E47" s="79">
        <f ca="1">รวมคะแนน!AB10</f>
        <v>1130</v>
      </c>
      <c r="F47" s="63" t="s">
        <v>3</v>
      </c>
      <c r="G47" s="64">
        <f ca="1">รวมคะแนน!Z17</f>
        <v>21</v>
      </c>
      <c r="H47" s="64">
        <f ca="1">รวมคะแนน!AA17</f>
        <v>21</v>
      </c>
      <c r="I47" s="64">
        <f ca="1">รวมคะแนน!AB17</f>
        <v>61</v>
      </c>
      <c r="J47" s="63" t="s">
        <v>3</v>
      </c>
      <c r="K47" s="64">
        <f ca="1">รวมคะแนน!Z18</f>
        <v>301</v>
      </c>
      <c r="L47" s="64">
        <f>รวมคะแนน!AA18</f>
        <v>0</v>
      </c>
      <c r="M47" s="64">
        <f>รวมคะแนน!AB18</f>
        <v>1934.79</v>
      </c>
    </row>
    <row r="48" spans="2:13" ht="11.25" customHeight="1">
      <c r="B48" s="63" t="s">
        <v>8</v>
      </c>
      <c r="C48" s="64">
        <f ca="1">รวมคะแนน!AC10</f>
        <v>655</v>
      </c>
      <c r="D48" s="64">
        <f ca="1">รวมคะแนน!AD10</f>
        <v>757</v>
      </c>
      <c r="E48" s="79">
        <f ca="1">รวมคะแนน!AE10</f>
        <v>743.5</v>
      </c>
      <c r="F48" s="63" t="s">
        <v>8</v>
      </c>
      <c r="G48" s="64">
        <f ca="1">รวมคะแนน!AC17</f>
        <v>20</v>
      </c>
      <c r="H48" s="64">
        <f ca="1">รวมคะแนน!AD17</f>
        <v>25</v>
      </c>
      <c r="I48" s="64">
        <f ca="1">รวมคะแนน!AE17</f>
        <v>82</v>
      </c>
      <c r="J48" s="63" t="s">
        <v>8</v>
      </c>
      <c r="K48" s="64">
        <f ca="1">รวมคะแนน!AC18</f>
        <v>305</v>
      </c>
      <c r="L48" s="64">
        <f>รวมคะแนน!AD18</f>
        <v>0</v>
      </c>
      <c r="M48" s="64">
        <f>รวมคะแนน!AE18</f>
        <v>684.84</v>
      </c>
    </row>
    <row r="49" spans="2:13" ht="11.25" customHeight="1">
      <c r="B49" s="67" t="s">
        <v>5</v>
      </c>
      <c r="C49" s="64">
        <f ca="1">รวมคะแนน!AF10</f>
        <v>281</v>
      </c>
      <c r="D49" s="64">
        <f ca="1">รวมคะแนน!AG10</f>
        <v>464</v>
      </c>
      <c r="E49" s="79">
        <f ca="1">รวมคะแนน!AH10</f>
        <v>424.5</v>
      </c>
      <c r="F49" s="67" t="s">
        <v>5</v>
      </c>
      <c r="G49" s="64">
        <f ca="1">รวมคะแนน!AF17</f>
        <v>44</v>
      </c>
      <c r="H49" s="64">
        <f ca="1">รวมคะแนน!AG17</f>
        <v>51</v>
      </c>
      <c r="I49" s="64">
        <f ca="1">รวมคะแนน!AH17</f>
        <v>156</v>
      </c>
      <c r="J49" s="67" t="s">
        <v>5</v>
      </c>
      <c r="K49" s="64">
        <f>รวมคะแนน!AF18</f>
        <v>864</v>
      </c>
      <c r="L49" s="64">
        <f>รวมคะแนน!AG18</f>
        <v>0</v>
      </c>
      <c r="M49" s="64">
        <f>รวมคะแนน!AH18</f>
        <v>3192.91</v>
      </c>
    </row>
    <row r="50" spans="2:13" ht="11.25" customHeight="1">
      <c r="B50" s="63" t="s">
        <v>6</v>
      </c>
      <c r="C50" s="64">
        <f ca="1">รวมคะแนน!AI10</f>
        <v>100</v>
      </c>
      <c r="D50" s="64">
        <f ca="1">รวมคะแนน!AJ10</f>
        <v>126</v>
      </c>
      <c r="E50" s="79">
        <f ca="1">รวมคะแนน!AK10</f>
        <v>144.5</v>
      </c>
      <c r="F50" s="63" t="s">
        <v>6</v>
      </c>
      <c r="G50" s="64">
        <f ca="1">รวมคะแนน!AI17</f>
        <v>91</v>
      </c>
      <c r="H50" s="64">
        <f ca="1">รวมคะแนน!AJ17</f>
        <v>103</v>
      </c>
      <c r="I50" s="64">
        <f ca="1">รวมคะแนน!AK17</f>
        <v>248</v>
      </c>
      <c r="J50" s="63" t="s">
        <v>6</v>
      </c>
      <c r="K50" s="64">
        <f ca="1">รวมคะแนน!AI18</f>
        <v>315</v>
      </c>
      <c r="L50" s="64">
        <f>รวมคะแนน!AJ18</f>
        <v>0</v>
      </c>
      <c r="M50" s="64">
        <f>รวมคะแนน!AK18</f>
        <v>833.64</v>
      </c>
    </row>
    <row r="51" spans="2:13" ht="11.25" customHeight="1">
      <c r="B51" s="67" t="s">
        <v>12</v>
      </c>
      <c r="C51" s="64">
        <f ca="1">รวมคะแนน!AL10</f>
        <v>29</v>
      </c>
      <c r="D51" s="64">
        <f ca="1">รวมคะแนน!AM10</f>
        <v>37</v>
      </c>
      <c r="E51" s="79">
        <f ca="1">รวมคะแนน!AN10</f>
        <v>54.5</v>
      </c>
      <c r="F51" s="67" t="s">
        <v>12</v>
      </c>
      <c r="G51" s="64">
        <f ca="1">รวมคะแนน!AL17</f>
        <v>5</v>
      </c>
      <c r="H51" s="64">
        <f ca="1">รวมคะแนน!AM17</f>
        <v>3</v>
      </c>
      <c r="I51" s="64">
        <f ca="1">รวมคะแนน!AN17</f>
        <v>25</v>
      </c>
      <c r="J51" s="67" t="s">
        <v>12</v>
      </c>
      <c r="K51" s="64">
        <f>รวมคะแนน!AL18</f>
        <v>195</v>
      </c>
      <c r="L51" s="64">
        <f>รวมคะแนน!AM18</f>
        <v>0</v>
      </c>
      <c r="M51" s="64">
        <f>รวมคะแนน!AN18</f>
        <v>473.11</v>
      </c>
    </row>
    <row r="52" spans="2:13" ht="11.25" customHeight="1">
      <c r="B52" s="67" t="s">
        <v>7</v>
      </c>
      <c r="C52" s="64">
        <f ca="1">รวมคะแนน!AO10</f>
        <v>900</v>
      </c>
      <c r="D52" s="64">
        <f ca="1">รวมคะแนน!AP10</f>
        <v>1215</v>
      </c>
      <c r="E52" s="79">
        <f ca="1">รวมคะแนน!AQ10</f>
        <v>709.5</v>
      </c>
      <c r="F52" s="67" t="s">
        <v>7</v>
      </c>
      <c r="G52" s="64">
        <f ca="1">รวมคะแนน!AO17</f>
        <v>9</v>
      </c>
      <c r="H52" s="64">
        <f ca="1">รวมคะแนน!AP17</f>
        <v>11</v>
      </c>
      <c r="I52" s="64">
        <f ca="1">รวมคะแนน!AQ17</f>
        <v>22</v>
      </c>
      <c r="J52" s="67" t="s">
        <v>7</v>
      </c>
      <c r="K52" s="64">
        <f>รวมคะแนน!AO18</f>
        <v>373</v>
      </c>
      <c r="L52" s="64">
        <f>รวมคะแนน!AP18</f>
        <v>0</v>
      </c>
      <c r="M52" s="64">
        <f>รวมคะแนน!AQ18</f>
        <v>469.85</v>
      </c>
    </row>
    <row r="53" spans="2:13" ht="11.25" customHeight="1">
      <c r="B53" s="67" t="s">
        <v>10</v>
      </c>
      <c r="C53" s="64">
        <f ca="1">รวมคะแนน!AR10</f>
        <v>129</v>
      </c>
      <c r="D53" s="64">
        <f ca="1">รวมคะแนน!AS10</f>
        <v>153</v>
      </c>
      <c r="E53" s="79">
        <f ca="1">รวมคะแนน!AT10</f>
        <v>176</v>
      </c>
      <c r="F53" s="67" t="s">
        <v>10</v>
      </c>
      <c r="G53" s="64">
        <f ca="1">รวมคะแนน!AR17</f>
        <v>4</v>
      </c>
      <c r="H53" s="64">
        <f ca="1">รวมคะแนน!AS17</f>
        <v>4</v>
      </c>
      <c r="I53" s="64">
        <f ca="1">รวมคะแนน!AT17</f>
        <v>14</v>
      </c>
      <c r="J53" s="67" t="s">
        <v>10</v>
      </c>
      <c r="K53" s="64">
        <f>รวมคะแนน!AR18</f>
        <v>209</v>
      </c>
      <c r="L53" s="64">
        <f>รวมคะแนน!AS18</f>
        <v>0</v>
      </c>
      <c r="M53" s="64">
        <f>รวมคะแนน!AT18</f>
        <v>321.54000000000002</v>
      </c>
    </row>
    <row r="54" spans="2:13" ht="11.25" customHeight="1">
      <c r="B54" s="67" t="s">
        <v>13</v>
      </c>
      <c r="C54" s="64">
        <f ca="1">รวมคะแนน!AU10</f>
        <v>42</v>
      </c>
      <c r="D54" s="64">
        <f ca="1">รวมคะแนน!AV10</f>
        <v>114</v>
      </c>
      <c r="E54" s="79">
        <f ca="1">รวมคะแนน!AW10</f>
        <v>47</v>
      </c>
      <c r="F54" s="67" t="s">
        <v>13</v>
      </c>
      <c r="G54" s="64">
        <f ca="1">รวมคะแนน!AU17</f>
        <v>0</v>
      </c>
      <c r="H54" s="64">
        <f ca="1">รวมคะแนน!AV17</f>
        <v>0</v>
      </c>
      <c r="I54" s="64">
        <f ca="1">รวมคะแนน!AW17</f>
        <v>0</v>
      </c>
      <c r="J54" s="67" t="s">
        <v>13</v>
      </c>
      <c r="K54" s="64">
        <f ca="1">รวมคะแนน!AU18</f>
        <v>9</v>
      </c>
      <c r="L54" s="64">
        <f>รวมคะแนน!AV18</f>
        <v>0</v>
      </c>
      <c r="M54" s="64">
        <f>รวมคะแนน!AW18</f>
        <v>22</v>
      </c>
    </row>
  </sheetData>
  <mergeCells count="1">
    <mergeCell ref="R1:T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B20"/>
  <sheetViews>
    <sheetView topLeftCell="A10" workbookViewId="0">
      <selection activeCell="BH11" sqref="BH11"/>
    </sheetView>
  </sheetViews>
  <sheetFormatPr defaultColWidth="14.42578125" defaultRowHeight="23.25"/>
  <cols>
    <col min="1" max="1" width="67.28515625" style="346" customWidth="1"/>
    <col min="2" max="48" width="6.5703125" style="346" hidden="1" customWidth="1"/>
    <col min="49" max="49" width="1.140625" style="346" hidden="1" customWidth="1"/>
    <col min="50" max="51" width="10.5703125" style="346" customWidth="1"/>
    <col min="52" max="80" width="5.140625" style="346" customWidth="1"/>
    <col min="81" max="16384" width="14.42578125" style="346"/>
  </cols>
  <sheetData>
    <row r="1" spans="1:80" ht="27.75">
      <c r="A1" s="693" t="s">
        <v>110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  <c r="AD1" s="693"/>
      <c r="AE1" s="693"/>
      <c r="AF1" s="693"/>
      <c r="AG1" s="693"/>
      <c r="AH1" s="693"/>
      <c r="AI1" s="693"/>
      <c r="AJ1" s="693"/>
      <c r="AK1" s="693"/>
      <c r="AL1" s="693"/>
      <c r="AM1" s="693"/>
      <c r="AN1" s="693"/>
      <c r="AO1" s="693"/>
      <c r="AP1" s="693"/>
      <c r="AQ1" s="693"/>
      <c r="AR1" s="693"/>
      <c r="AS1" s="693"/>
      <c r="AT1" s="693"/>
      <c r="AU1" s="693"/>
      <c r="AV1" s="693"/>
      <c r="AW1" s="693"/>
      <c r="AX1" s="693"/>
      <c r="AY1" s="693"/>
    </row>
    <row r="2" spans="1:80" ht="27.75">
      <c r="A2" s="694" t="s">
        <v>111</v>
      </c>
      <c r="B2" s="694"/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4"/>
      <c r="N2" s="694"/>
      <c r="O2" s="694"/>
      <c r="P2" s="694"/>
      <c r="Q2" s="694"/>
      <c r="R2" s="694"/>
      <c r="S2" s="694"/>
      <c r="T2" s="694"/>
      <c r="U2" s="694"/>
      <c r="V2" s="694"/>
      <c r="W2" s="694"/>
      <c r="X2" s="694"/>
      <c r="Y2" s="694"/>
      <c r="Z2" s="694"/>
      <c r="AA2" s="694"/>
      <c r="AB2" s="694"/>
      <c r="AC2" s="694"/>
      <c r="AD2" s="694"/>
      <c r="AE2" s="694"/>
      <c r="AF2" s="694"/>
      <c r="AG2" s="694"/>
      <c r="AH2" s="694"/>
      <c r="AI2" s="694"/>
      <c r="AJ2" s="694"/>
      <c r="AK2" s="694"/>
      <c r="AL2" s="694"/>
      <c r="AM2" s="694"/>
      <c r="AN2" s="694"/>
      <c r="AO2" s="694"/>
      <c r="AP2" s="694"/>
      <c r="AQ2" s="694"/>
      <c r="AR2" s="694"/>
      <c r="AS2" s="694"/>
      <c r="AT2" s="694"/>
      <c r="AU2" s="694"/>
      <c r="AV2" s="694"/>
      <c r="AW2" s="694"/>
      <c r="AX2" s="694"/>
      <c r="AY2" s="694"/>
    </row>
    <row r="3" spans="1:80" ht="18" customHeight="1" thickBot="1"/>
    <row r="4" spans="1:80" s="348" customFormat="1" ht="24" thickBot="1">
      <c r="A4" s="697" t="s">
        <v>64</v>
      </c>
      <c r="B4" s="691" t="s">
        <v>11</v>
      </c>
      <c r="C4" s="689"/>
      <c r="D4" s="692"/>
      <c r="E4" s="688" t="s">
        <v>9</v>
      </c>
      <c r="F4" s="689"/>
      <c r="G4" s="690"/>
      <c r="H4" s="691" t="s">
        <v>4</v>
      </c>
      <c r="I4" s="689"/>
      <c r="J4" s="692"/>
      <c r="K4" s="688" t="s">
        <v>2</v>
      </c>
      <c r="L4" s="689"/>
      <c r="M4" s="690"/>
      <c r="N4" s="691" t="s">
        <v>0</v>
      </c>
      <c r="O4" s="689"/>
      <c r="P4" s="692"/>
      <c r="Q4" s="688" t="s">
        <v>14</v>
      </c>
      <c r="R4" s="689"/>
      <c r="S4" s="690"/>
      <c r="T4" s="691" t="s">
        <v>15</v>
      </c>
      <c r="U4" s="689"/>
      <c r="V4" s="692"/>
      <c r="W4" s="688" t="s">
        <v>1</v>
      </c>
      <c r="X4" s="689"/>
      <c r="Y4" s="690"/>
      <c r="Z4" s="691" t="s">
        <v>3</v>
      </c>
      <c r="AA4" s="689"/>
      <c r="AB4" s="692"/>
      <c r="AC4" s="688" t="s">
        <v>8</v>
      </c>
      <c r="AD4" s="689"/>
      <c r="AE4" s="690"/>
      <c r="AF4" s="691" t="s">
        <v>5</v>
      </c>
      <c r="AG4" s="689"/>
      <c r="AH4" s="692"/>
      <c r="AI4" s="688" t="s">
        <v>6</v>
      </c>
      <c r="AJ4" s="689"/>
      <c r="AK4" s="690"/>
      <c r="AL4" s="691" t="s">
        <v>12</v>
      </c>
      <c r="AM4" s="689"/>
      <c r="AN4" s="692"/>
      <c r="AO4" s="688" t="s">
        <v>7</v>
      </c>
      <c r="AP4" s="689"/>
      <c r="AQ4" s="690"/>
      <c r="AR4" s="691" t="s">
        <v>10</v>
      </c>
      <c r="AS4" s="689"/>
      <c r="AT4" s="692"/>
      <c r="AU4" s="688" t="s">
        <v>13</v>
      </c>
      <c r="AV4" s="689"/>
      <c r="AW4" s="689"/>
      <c r="AX4" s="695" t="s">
        <v>79</v>
      </c>
      <c r="AY4" s="696"/>
      <c r="AZ4" s="347"/>
      <c r="BA4" s="347"/>
      <c r="BB4" s="347"/>
      <c r="BC4" s="347"/>
      <c r="BD4" s="347"/>
      <c r="BE4" s="347"/>
      <c r="BF4" s="347"/>
      <c r="BG4" s="347"/>
      <c r="BH4" s="347"/>
      <c r="BI4" s="347"/>
      <c r="BJ4" s="347"/>
      <c r="BK4" s="347"/>
      <c r="BL4" s="347"/>
      <c r="BM4" s="347"/>
      <c r="BN4" s="347"/>
      <c r="BO4" s="347"/>
      <c r="BP4" s="347"/>
      <c r="BQ4" s="347"/>
      <c r="BR4" s="347"/>
      <c r="BS4" s="347"/>
      <c r="BT4" s="347"/>
      <c r="BU4" s="347"/>
      <c r="BV4" s="347"/>
      <c r="BW4" s="347"/>
      <c r="BX4" s="347"/>
      <c r="BY4" s="347"/>
      <c r="BZ4" s="347"/>
      <c r="CA4" s="347"/>
      <c r="CB4" s="347"/>
    </row>
    <row r="5" spans="1:80" ht="24" thickBot="1">
      <c r="A5" s="698"/>
      <c r="B5" s="349" t="s">
        <v>21</v>
      </c>
      <c r="C5" s="350" t="s">
        <v>22</v>
      </c>
      <c r="D5" s="351" t="s">
        <v>53</v>
      </c>
      <c r="E5" s="352" t="s">
        <v>21</v>
      </c>
      <c r="F5" s="350" t="s">
        <v>22</v>
      </c>
      <c r="G5" s="353" t="s">
        <v>53</v>
      </c>
      <c r="H5" s="349" t="s">
        <v>21</v>
      </c>
      <c r="I5" s="350" t="s">
        <v>22</v>
      </c>
      <c r="J5" s="351" t="s">
        <v>53</v>
      </c>
      <c r="K5" s="352" t="s">
        <v>21</v>
      </c>
      <c r="L5" s="350" t="s">
        <v>22</v>
      </c>
      <c r="M5" s="353" t="s">
        <v>53</v>
      </c>
      <c r="N5" s="349" t="s">
        <v>21</v>
      </c>
      <c r="O5" s="350" t="s">
        <v>22</v>
      </c>
      <c r="P5" s="351" t="s">
        <v>53</v>
      </c>
      <c r="Q5" s="352" t="s">
        <v>21</v>
      </c>
      <c r="R5" s="350" t="s">
        <v>22</v>
      </c>
      <c r="S5" s="353" t="s">
        <v>53</v>
      </c>
      <c r="T5" s="349" t="s">
        <v>21</v>
      </c>
      <c r="U5" s="350" t="s">
        <v>22</v>
      </c>
      <c r="V5" s="351" t="s">
        <v>53</v>
      </c>
      <c r="W5" s="352" t="s">
        <v>21</v>
      </c>
      <c r="X5" s="350" t="s">
        <v>22</v>
      </c>
      <c r="Y5" s="353" t="s">
        <v>53</v>
      </c>
      <c r="Z5" s="349" t="s">
        <v>21</v>
      </c>
      <c r="AA5" s="350" t="s">
        <v>22</v>
      </c>
      <c r="AB5" s="351" t="s">
        <v>53</v>
      </c>
      <c r="AC5" s="352" t="s">
        <v>21</v>
      </c>
      <c r="AD5" s="350" t="s">
        <v>22</v>
      </c>
      <c r="AE5" s="353" t="s">
        <v>53</v>
      </c>
      <c r="AF5" s="349" t="s">
        <v>21</v>
      </c>
      <c r="AG5" s="350" t="s">
        <v>22</v>
      </c>
      <c r="AH5" s="351" t="s">
        <v>53</v>
      </c>
      <c r="AI5" s="352" t="s">
        <v>21</v>
      </c>
      <c r="AJ5" s="350" t="s">
        <v>22</v>
      </c>
      <c r="AK5" s="353" t="s">
        <v>53</v>
      </c>
      <c r="AL5" s="349" t="s">
        <v>21</v>
      </c>
      <c r="AM5" s="350" t="s">
        <v>22</v>
      </c>
      <c r="AN5" s="351" t="s">
        <v>53</v>
      </c>
      <c r="AO5" s="352" t="s">
        <v>21</v>
      </c>
      <c r="AP5" s="350" t="s">
        <v>22</v>
      </c>
      <c r="AQ5" s="353" t="s">
        <v>53</v>
      </c>
      <c r="AR5" s="349" t="s">
        <v>21</v>
      </c>
      <c r="AS5" s="350" t="s">
        <v>22</v>
      </c>
      <c r="AT5" s="351" t="s">
        <v>53</v>
      </c>
      <c r="AU5" s="352" t="s">
        <v>21</v>
      </c>
      <c r="AV5" s="350" t="s">
        <v>22</v>
      </c>
      <c r="AW5" s="351" t="s">
        <v>53</v>
      </c>
      <c r="AX5" s="595" t="s">
        <v>21</v>
      </c>
      <c r="AY5" s="596" t="s">
        <v>22</v>
      </c>
      <c r="AZ5" s="354"/>
      <c r="BA5" s="354"/>
      <c r="BB5" s="354"/>
      <c r="BC5" s="354"/>
      <c r="BD5" s="354"/>
      <c r="BE5" s="354"/>
      <c r="BF5" s="354"/>
      <c r="BG5" s="354"/>
      <c r="BH5" s="354"/>
      <c r="BI5" s="354"/>
      <c r="BJ5" s="354"/>
      <c r="BK5" s="354"/>
      <c r="BL5" s="354"/>
      <c r="BM5" s="354"/>
      <c r="BN5" s="354"/>
      <c r="BO5" s="354"/>
      <c r="BP5" s="354"/>
      <c r="BQ5" s="354"/>
      <c r="BR5" s="354"/>
      <c r="BS5" s="354"/>
      <c r="BT5" s="354"/>
      <c r="BU5" s="354"/>
      <c r="BV5" s="354"/>
      <c r="BW5" s="354"/>
      <c r="BX5" s="354"/>
      <c r="BY5" s="354"/>
      <c r="BZ5" s="354"/>
      <c r="CA5" s="354"/>
      <c r="CB5" s="354"/>
    </row>
    <row r="6" spans="1:80" s="348" customFormat="1">
      <c r="A6" s="550" t="s">
        <v>60</v>
      </c>
      <c r="B6" s="355"/>
      <c r="C6" s="356"/>
      <c r="D6" s="357"/>
      <c r="E6" s="358"/>
      <c r="F6" s="356"/>
      <c r="G6" s="359"/>
      <c r="H6" s="355"/>
      <c r="I6" s="356"/>
      <c r="J6" s="357"/>
      <c r="K6" s="358"/>
      <c r="L6" s="356"/>
      <c r="M6" s="359"/>
      <c r="N6" s="355"/>
      <c r="O6" s="356"/>
      <c r="P6" s="357"/>
      <c r="Q6" s="358"/>
      <c r="R6" s="356"/>
      <c r="S6" s="359"/>
      <c r="T6" s="355"/>
      <c r="U6" s="356"/>
      <c r="V6" s="357"/>
      <c r="W6" s="358"/>
      <c r="X6" s="356"/>
      <c r="Y6" s="359"/>
      <c r="Z6" s="355"/>
      <c r="AA6" s="356"/>
      <c r="AB6" s="357"/>
      <c r="AC6" s="358"/>
      <c r="AD6" s="356"/>
      <c r="AE6" s="359"/>
      <c r="AF6" s="355"/>
      <c r="AG6" s="356"/>
      <c r="AH6" s="357"/>
      <c r="AI6" s="358"/>
      <c r="AJ6" s="356"/>
      <c r="AK6" s="359"/>
      <c r="AL6" s="355"/>
      <c r="AM6" s="356"/>
      <c r="AN6" s="357"/>
      <c r="AO6" s="358"/>
      <c r="AP6" s="356"/>
      <c r="AQ6" s="359"/>
      <c r="AR6" s="355"/>
      <c r="AS6" s="356"/>
      <c r="AT6" s="357"/>
      <c r="AU6" s="358"/>
      <c r="AV6" s="356"/>
      <c r="AW6" s="357"/>
      <c r="AX6" s="548"/>
      <c r="AY6" s="548"/>
    </row>
    <row r="7" spans="1:80" s="348" customFormat="1" ht="27.75">
      <c r="A7" s="360" t="s">
        <v>127</v>
      </c>
      <c r="B7" s="361">
        <f ca="1">ทั่วไป!B12</f>
        <v>29</v>
      </c>
      <c r="C7" s="362">
        <f ca="1">ทั่วไป!C12</f>
        <v>67</v>
      </c>
      <c r="D7" s="363">
        <f ca="1">ทั่วไป!D12</f>
        <v>87</v>
      </c>
      <c r="E7" s="364">
        <f ca="1">ทั่วไป!E12</f>
        <v>42</v>
      </c>
      <c r="F7" s="362">
        <f ca="1">ทั่วไป!F12</f>
        <v>156</v>
      </c>
      <c r="G7" s="365">
        <f ca="1">ทั่วไป!G12</f>
        <v>126</v>
      </c>
      <c r="H7" s="361">
        <f ca="1">ทั่วไป!H12</f>
        <v>99</v>
      </c>
      <c r="I7" s="362">
        <f ca="1">ทั่วไป!I12</f>
        <v>213</v>
      </c>
      <c r="J7" s="363">
        <f ca="1">ทั่วไป!J12</f>
        <v>297</v>
      </c>
      <c r="K7" s="364">
        <f ca="1">ทั่วไป!K12</f>
        <v>420</v>
      </c>
      <c r="L7" s="362">
        <f ca="1">ทั่วไป!L12</f>
        <v>529</v>
      </c>
      <c r="M7" s="365">
        <f ca="1">ทั่วไป!M12</f>
        <v>1260</v>
      </c>
      <c r="N7" s="361">
        <f ca="1">ทั่วไป!N12</f>
        <v>469</v>
      </c>
      <c r="O7" s="362">
        <f ca="1">ทั่วไป!O12</f>
        <v>777</v>
      </c>
      <c r="P7" s="363">
        <f ca="1">ทั่วไป!P12</f>
        <v>1407</v>
      </c>
      <c r="Q7" s="364">
        <f ca="1">ทั่วไป!Q12</f>
        <v>7</v>
      </c>
      <c r="R7" s="362">
        <f ca="1">ทั่วไป!R12</f>
        <v>27</v>
      </c>
      <c r="S7" s="365">
        <f ca="1">ทั่วไป!S12</f>
        <v>21</v>
      </c>
      <c r="T7" s="361">
        <f ca="1">ทั่วไป!T12</f>
        <v>11</v>
      </c>
      <c r="U7" s="362">
        <f ca="1">ทั่วไป!U12</f>
        <v>60</v>
      </c>
      <c r="V7" s="363">
        <f ca="1">ทั่วไป!V12</f>
        <v>33</v>
      </c>
      <c r="W7" s="364">
        <f ca="1">ทั่วไป!W12</f>
        <v>27</v>
      </c>
      <c r="X7" s="362">
        <f ca="1">ทั่วไป!X12</f>
        <v>85</v>
      </c>
      <c r="Y7" s="365">
        <f ca="1">ทั่วไป!Y12</f>
        <v>81</v>
      </c>
      <c r="Z7" s="361">
        <f ca="1">ทั่วไป!Z12</f>
        <v>81</v>
      </c>
      <c r="AA7" s="362">
        <f ca="1">ทั่วไป!AA12</f>
        <v>190</v>
      </c>
      <c r="AB7" s="363">
        <f ca="1">ทั่วไป!AB12</f>
        <v>243</v>
      </c>
      <c r="AC7" s="364">
        <f ca="1">ทั่วไป!AC12</f>
        <v>16</v>
      </c>
      <c r="AD7" s="362">
        <f ca="1">ทั่วไป!AD12</f>
        <v>53</v>
      </c>
      <c r="AE7" s="365">
        <f ca="1">ทั่วไป!AE12</f>
        <v>48</v>
      </c>
      <c r="AF7" s="361">
        <f ca="1">ทั่วไป!AF12</f>
        <v>17</v>
      </c>
      <c r="AG7" s="362">
        <f ca="1">ทั่วไป!AG12</f>
        <v>46</v>
      </c>
      <c r="AH7" s="363">
        <f ca="1">ทั่วไป!AH12</f>
        <v>51</v>
      </c>
      <c r="AI7" s="364">
        <f ca="1">ทั่วไป!AI12</f>
        <v>10</v>
      </c>
      <c r="AJ7" s="362">
        <f ca="1">ทั่วไป!AJ12</f>
        <v>20</v>
      </c>
      <c r="AK7" s="365">
        <f ca="1">ทั่วไป!AK12</f>
        <v>30</v>
      </c>
      <c r="AL7" s="361">
        <f ca="1">ทั่วไป!AL12</f>
        <v>0</v>
      </c>
      <c r="AM7" s="362">
        <f ca="1">ทั่วไป!AM12</f>
        <v>0</v>
      </c>
      <c r="AN7" s="363">
        <f ca="1">ทั่วไป!AN12</f>
        <v>0</v>
      </c>
      <c r="AO7" s="364">
        <f ca="1">ทั่วไป!AO12</f>
        <v>6</v>
      </c>
      <c r="AP7" s="362">
        <f ca="1">ทั่วไป!AP12</f>
        <v>25</v>
      </c>
      <c r="AQ7" s="365">
        <f ca="1">ทั่วไป!AQ12</f>
        <v>18</v>
      </c>
      <c r="AR7" s="361">
        <f ca="1">ทั่วไป!AR12</f>
        <v>3</v>
      </c>
      <c r="AS7" s="362">
        <f ca="1">ทั่วไป!AS12</f>
        <v>8</v>
      </c>
      <c r="AT7" s="363">
        <f ca="1">ทั่วไป!AT12</f>
        <v>9</v>
      </c>
      <c r="AU7" s="364">
        <f ca="1">ทั่วไป!AU12</f>
        <v>0</v>
      </c>
      <c r="AV7" s="362">
        <f ca="1">ทั่วไป!AV12</f>
        <v>0</v>
      </c>
      <c r="AW7" s="363">
        <f ca="1">ทั่วไป!AW12</f>
        <v>0</v>
      </c>
      <c r="AX7" s="375">
        <v>2183</v>
      </c>
      <c r="AY7" s="375">
        <v>3288</v>
      </c>
    </row>
    <row r="8" spans="1:80" s="348" customFormat="1" ht="27.75">
      <c r="A8" s="360" t="s">
        <v>129</v>
      </c>
      <c r="B8" s="361">
        <f ca="1">ทั่วไป!B21</f>
        <v>50</v>
      </c>
      <c r="C8" s="362">
        <f ca="1">ทั่วไป!C21</f>
        <v>50</v>
      </c>
      <c r="D8" s="366">
        <f ca="1">ทั่วไป!D21</f>
        <v>25</v>
      </c>
      <c r="E8" s="364">
        <f ca="1">ทั่วไป!E21</f>
        <v>215</v>
      </c>
      <c r="F8" s="362">
        <f ca="1">ทั่วไป!F21</f>
        <v>215</v>
      </c>
      <c r="G8" s="367">
        <f ca="1">ทั่วไป!G21</f>
        <v>107.5</v>
      </c>
      <c r="H8" s="361">
        <f ca="1">ทั่วไป!H21</f>
        <v>457</v>
      </c>
      <c r="I8" s="362">
        <f ca="1">ทั่วไป!I21</f>
        <v>456</v>
      </c>
      <c r="J8" s="366">
        <f ca="1">ทั่วไป!J21</f>
        <v>228.5</v>
      </c>
      <c r="K8" s="364">
        <f ca="1">ทั่วไป!K21</f>
        <v>560</v>
      </c>
      <c r="L8" s="362">
        <f ca="1">ทั่วไป!L21</f>
        <v>560</v>
      </c>
      <c r="M8" s="367">
        <f ca="1">ทั่วไป!M21</f>
        <v>280</v>
      </c>
      <c r="N8" s="361">
        <f ca="1">ทั่วไป!N21</f>
        <v>2364</v>
      </c>
      <c r="O8" s="362">
        <f ca="1">ทั่วไป!O21</f>
        <v>2349</v>
      </c>
      <c r="P8" s="366">
        <f ca="1">ทั่วไป!P21</f>
        <v>1182</v>
      </c>
      <c r="Q8" s="364">
        <f ca="1">ทั่วไป!Q21</f>
        <v>227</v>
      </c>
      <c r="R8" s="362">
        <f ca="1">ทั่วไป!R21</f>
        <v>227</v>
      </c>
      <c r="S8" s="367">
        <f ca="1">ทั่วไป!S21</f>
        <v>113.5</v>
      </c>
      <c r="T8" s="361">
        <f ca="1">ทั่วไป!T21</f>
        <v>396</v>
      </c>
      <c r="U8" s="362">
        <f ca="1">ทั่วไป!U21</f>
        <v>396</v>
      </c>
      <c r="V8" s="366">
        <f ca="1">ทั่วไป!V21</f>
        <v>198</v>
      </c>
      <c r="W8" s="364">
        <f ca="1">ทั่วไป!W21</f>
        <v>278</v>
      </c>
      <c r="X8" s="362">
        <f ca="1">ทั่วไป!X21</f>
        <v>278</v>
      </c>
      <c r="Y8" s="367">
        <f ca="1">ทั่วไป!Y21</f>
        <v>139</v>
      </c>
      <c r="Z8" s="361">
        <f ca="1">ทั่วไป!Z21</f>
        <v>218</v>
      </c>
      <c r="AA8" s="362">
        <f ca="1">ทั่วไป!AA21</f>
        <v>218</v>
      </c>
      <c r="AB8" s="366">
        <f ca="1">ทั่วไป!AB21</f>
        <v>109</v>
      </c>
      <c r="AC8" s="364">
        <f ca="1">ทั่วไป!AC21</f>
        <v>173</v>
      </c>
      <c r="AD8" s="362">
        <f ca="1">ทั่วไป!AD21</f>
        <v>173</v>
      </c>
      <c r="AE8" s="367">
        <f ca="1">ทั่วไป!AE21</f>
        <v>86.5</v>
      </c>
      <c r="AF8" s="361">
        <f ca="1">ทั่วไป!AF21</f>
        <v>34</v>
      </c>
      <c r="AG8" s="362">
        <f ca="1">ทั่วไป!AG21</f>
        <v>42</v>
      </c>
      <c r="AH8" s="366">
        <f ca="1">ทั่วไป!AH21</f>
        <v>17</v>
      </c>
      <c r="AI8" s="364">
        <f ca="1">ทั่วไป!AI21</f>
        <v>9</v>
      </c>
      <c r="AJ8" s="362">
        <f ca="1">ทั่วไป!AJ21</f>
        <v>10</v>
      </c>
      <c r="AK8" s="367">
        <f ca="1">ทั่วไป!AK21</f>
        <v>4.5</v>
      </c>
      <c r="AL8" s="361">
        <f ca="1">ทั่วไป!AL21</f>
        <v>2</v>
      </c>
      <c r="AM8" s="362">
        <f ca="1">ทั่วไป!AM21</f>
        <v>2</v>
      </c>
      <c r="AN8" s="366">
        <f ca="1">ทั่วไป!AN21</f>
        <v>1</v>
      </c>
      <c r="AO8" s="364">
        <f ca="1">ทั่วไป!AO21</f>
        <v>87</v>
      </c>
      <c r="AP8" s="362">
        <f ca="1">ทั่วไป!AP21</f>
        <v>89</v>
      </c>
      <c r="AQ8" s="367">
        <f ca="1">ทั่วไป!AQ21</f>
        <v>43.5</v>
      </c>
      <c r="AR8" s="361">
        <f ca="1">ทั่วไป!AR21</f>
        <v>31</v>
      </c>
      <c r="AS8" s="362">
        <f ca="1">ทั่วไป!AS21</f>
        <v>31</v>
      </c>
      <c r="AT8" s="366">
        <f ca="1">ทั่วไป!AT21</f>
        <v>15.5</v>
      </c>
      <c r="AU8" s="364">
        <f ca="1">ทั่วไป!AU21</f>
        <v>6</v>
      </c>
      <c r="AV8" s="362">
        <f ca="1">ทั่วไป!AV21</f>
        <v>6</v>
      </c>
      <c r="AW8" s="366">
        <f ca="1">ทั่วไป!AW21</f>
        <v>3</v>
      </c>
      <c r="AX8" s="375">
        <v>9550</v>
      </c>
      <c r="AY8" s="375">
        <v>9715</v>
      </c>
      <c r="AZ8" s="347"/>
      <c r="BA8" s="347"/>
      <c r="BB8" s="347"/>
      <c r="BC8" s="347"/>
      <c r="BD8" s="347"/>
      <c r="BE8" s="347"/>
      <c r="BF8" s="347"/>
      <c r="BG8" s="347"/>
      <c r="BH8" s="347"/>
      <c r="BI8" s="347"/>
      <c r="BJ8" s="347"/>
      <c r="BK8" s="347"/>
      <c r="BL8" s="347"/>
      <c r="BM8" s="347"/>
      <c r="BN8" s="347"/>
      <c r="BO8" s="347"/>
      <c r="BP8" s="347"/>
      <c r="BQ8" s="347"/>
      <c r="BR8" s="347"/>
      <c r="BS8" s="347"/>
      <c r="BT8" s="347"/>
      <c r="BU8" s="347"/>
      <c r="BV8" s="347"/>
      <c r="BW8" s="347"/>
      <c r="BX8" s="347"/>
      <c r="BY8" s="347"/>
      <c r="BZ8" s="347"/>
      <c r="CA8" s="347"/>
      <c r="CB8" s="347"/>
    </row>
    <row r="9" spans="1:80" s="348" customFormat="1" ht="27.75">
      <c r="A9" s="360" t="s">
        <v>128</v>
      </c>
      <c r="B9" s="361">
        <f ca="1">ทั่วไป!B26</f>
        <v>301</v>
      </c>
      <c r="C9" s="362">
        <f ca="1">ทั่วไป!C26</f>
        <v>306</v>
      </c>
      <c r="D9" s="366">
        <f ca="1">ทั่วไป!D26</f>
        <v>150.5</v>
      </c>
      <c r="E9" s="364">
        <f ca="1">ทั่วไป!E26</f>
        <v>90</v>
      </c>
      <c r="F9" s="362">
        <f ca="1">ทั่วไป!F26</f>
        <v>91</v>
      </c>
      <c r="G9" s="367">
        <f ca="1">ทั่วไป!G26</f>
        <v>45</v>
      </c>
      <c r="H9" s="361">
        <f ca="1">ทั่วไป!H26</f>
        <v>102</v>
      </c>
      <c r="I9" s="362">
        <f ca="1">ทั่วไป!I26</f>
        <v>102</v>
      </c>
      <c r="J9" s="366">
        <f ca="1">ทั่วไป!J26</f>
        <v>51</v>
      </c>
      <c r="K9" s="364">
        <f ca="1">ทั่วไป!K26</f>
        <v>8</v>
      </c>
      <c r="L9" s="362">
        <f ca="1">ทั่วไป!L26</f>
        <v>8</v>
      </c>
      <c r="M9" s="367">
        <f ca="1">ทั่วไป!M26</f>
        <v>4</v>
      </c>
      <c r="N9" s="361">
        <f ca="1">ทั่วไป!N26</f>
        <v>87</v>
      </c>
      <c r="O9" s="362">
        <f ca="1">ทั่วไป!O26</f>
        <v>87</v>
      </c>
      <c r="P9" s="366">
        <f ca="1">ทั่วไป!P26</f>
        <v>43.5</v>
      </c>
      <c r="Q9" s="364">
        <f ca="1">ทั่วไป!Q26</f>
        <v>51</v>
      </c>
      <c r="R9" s="362">
        <f ca="1">ทั่วไป!R26</f>
        <v>51</v>
      </c>
      <c r="S9" s="367">
        <f ca="1">ทั่วไป!S26</f>
        <v>25.5</v>
      </c>
      <c r="T9" s="361">
        <f ca="1">ทั่วไป!T26</f>
        <v>84</v>
      </c>
      <c r="U9" s="362">
        <f ca="1">ทั่วไป!U26</f>
        <v>84</v>
      </c>
      <c r="V9" s="366">
        <f ca="1">ทั่วไป!V26</f>
        <v>42</v>
      </c>
      <c r="W9" s="364">
        <f ca="1">ทั่วไป!W26</f>
        <v>87</v>
      </c>
      <c r="X9" s="362">
        <f ca="1">ทั่วไป!X26</f>
        <v>146</v>
      </c>
      <c r="Y9" s="367">
        <f ca="1">ทั่วไป!Y26</f>
        <v>43.5</v>
      </c>
      <c r="Z9" s="361">
        <f ca="1">ทั่วไป!Z26</f>
        <v>9</v>
      </c>
      <c r="AA9" s="362">
        <f ca="1">ทั่วไป!AA26</f>
        <v>9</v>
      </c>
      <c r="AB9" s="366">
        <f ca="1">ทั่วไป!AB26</f>
        <v>4.5</v>
      </c>
      <c r="AC9" s="364">
        <f ca="1">ทั่วไป!AC26</f>
        <v>11</v>
      </c>
      <c r="AD9" s="362">
        <f ca="1">ทั่วไป!AD26</f>
        <v>51</v>
      </c>
      <c r="AE9" s="367">
        <f ca="1">ทั่วไป!AE26</f>
        <v>5.5</v>
      </c>
      <c r="AF9" s="361">
        <f>ทั่วไป!AF26</f>
        <v>47</v>
      </c>
      <c r="AG9" s="362">
        <f>ทั่วไป!AG26</f>
        <v>108</v>
      </c>
      <c r="AH9" s="366">
        <f>ทั่วไป!AH26</f>
        <v>23.5</v>
      </c>
      <c r="AI9" s="364">
        <f ca="1">ทั่วไป!AI26</f>
        <v>7</v>
      </c>
      <c r="AJ9" s="362">
        <f ca="1">ทั่วไป!AJ26</f>
        <v>11</v>
      </c>
      <c r="AK9" s="367">
        <f ca="1">ทั่วไป!AK26</f>
        <v>3.5</v>
      </c>
      <c r="AL9" s="361">
        <f ca="1">ทั่วไป!AL26</f>
        <v>1</v>
      </c>
      <c r="AM9" s="362">
        <f ca="1">ทั่วไป!AM26</f>
        <v>1</v>
      </c>
      <c r="AN9" s="366">
        <f ca="1">ทั่วไป!AN26</f>
        <v>0.5</v>
      </c>
      <c r="AO9" s="364">
        <f ca="1">ทั่วไป!AO26</f>
        <v>648</v>
      </c>
      <c r="AP9" s="362">
        <f ca="1">ทั่วไป!AP26</f>
        <v>928</v>
      </c>
      <c r="AQ9" s="367">
        <f ca="1">ทั่วไป!AQ26</f>
        <v>324</v>
      </c>
      <c r="AR9" s="361">
        <f ca="1">ทั่วไป!AR26</f>
        <v>31</v>
      </c>
      <c r="AS9" s="362">
        <f ca="1">ทั่วไป!AS26</f>
        <v>48</v>
      </c>
      <c r="AT9" s="366">
        <f ca="1">ทั่วไป!AT26</f>
        <v>15.5</v>
      </c>
      <c r="AU9" s="364">
        <f ca="1">ทั่วไป!AU26</f>
        <v>16</v>
      </c>
      <c r="AV9" s="362">
        <f ca="1">ทั่วไป!AV26</f>
        <v>80</v>
      </c>
      <c r="AW9" s="366">
        <f ca="1">ทั่วไป!AW26</f>
        <v>8</v>
      </c>
      <c r="AX9" s="375">
        <v>1651</v>
      </c>
      <c r="AY9" s="375">
        <v>2191</v>
      </c>
      <c r="AZ9" s="347"/>
      <c r="BA9" s="347"/>
      <c r="BB9" s="347"/>
      <c r="BC9" s="347"/>
      <c r="BD9" s="347"/>
      <c r="BE9" s="347"/>
      <c r="BF9" s="347"/>
      <c r="BG9" s="347"/>
      <c r="BH9" s="347"/>
      <c r="BI9" s="347"/>
      <c r="BJ9" s="347"/>
      <c r="BK9" s="347"/>
      <c r="BL9" s="347"/>
      <c r="BM9" s="347"/>
      <c r="BN9" s="347"/>
      <c r="BO9" s="347"/>
      <c r="BP9" s="347"/>
      <c r="BQ9" s="347"/>
      <c r="BR9" s="347"/>
      <c r="BS9" s="347"/>
      <c r="BT9" s="347"/>
      <c r="BU9" s="347"/>
      <c r="BV9" s="347"/>
      <c r="BW9" s="347"/>
      <c r="BX9" s="347"/>
      <c r="BY9" s="347"/>
      <c r="BZ9" s="347"/>
      <c r="CA9" s="347"/>
      <c r="CB9" s="347"/>
    </row>
    <row r="10" spans="1:80" s="348" customFormat="1" ht="27.75">
      <c r="A10" s="360" t="s">
        <v>130</v>
      </c>
      <c r="B10" s="361">
        <f ca="1">ทั่วไป!B33</f>
        <v>0</v>
      </c>
      <c r="C10" s="362">
        <f ca="1">ทั่วไป!C33</f>
        <v>0</v>
      </c>
      <c r="D10" s="366">
        <f ca="1">ทั่วไป!D33</f>
        <v>0</v>
      </c>
      <c r="E10" s="364">
        <f ca="1">ทั่วไป!E33</f>
        <v>10</v>
      </c>
      <c r="F10" s="362">
        <f ca="1">ทั่วไป!F33</f>
        <v>10</v>
      </c>
      <c r="G10" s="367">
        <f ca="1">ทั่วไป!G33</f>
        <v>5</v>
      </c>
      <c r="H10" s="361">
        <f ca="1">ทั่วไป!H33</f>
        <v>31</v>
      </c>
      <c r="I10" s="362">
        <f ca="1">ทั่วไป!I33</f>
        <v>31</v>
      </c>
      <c r="J10" s="366">
        <f ca="1">ทั่วไป!J33</f>
        <v>15.5</v>
      </c>
      <c r="K10" s="364">
        <f ca="1">ทั่วไป!K33</f>
        <v>67</v>
      </c>
      <c r="L10" s="362">
        <f ca="1">ทั่วไป!L33</f>
        <v>67</v>
      </c>
      <c r="M10" s="367">
        <f ca="1">ทั่วไป!M33</f>
        <v>33.5</v>
      </c>
      <c r="N10" s="361">
        <f ca="1">ทั่วไป!N33</f>
        <v>31</v>
      </c>
      <c r="O10" s="362">
        <f ca="1">ทั่วไป!O33</f>
        <v>31</v>
      </c>
      <c r="P10" s="366">
        <f ca="1">ทั่วไป!P33</f>
        <v>15.5</v>
      </c>
      <c r="Q10" s="364">
        <f ca="1">ทั่วไป!Q33</f>
        <v>16</v>
      </c>
      <c r="R10" s="362">
        <f ca="1">ทั่วไป!R33</f>
        <v>6</v>
      </c>
      <c r="S10" s="367">
        <f ca="1">ทั่วไป!S33</f>
        <v>8</v>
      </c>
      <c r="T10" s="361">
        <f ca="1">ทั่วไป!T33</f>
        <v>11</v>
      </c>
      <c r="U10" s="362">
        <f ca="1">ทั่วไป!U33</f>
        <v>10</v>
      </c>
      <c r="V10" s="366">
        <f ca="1">ทั่วไป!V33</f>
        <v>5.5</v>
      </c>
      <c r="W10" s="364">
        <f ca="1">ทั่วไป!W33</f>
        <v>10</v>
      </c>
      <c r="X10" s="362">
        <f ca="1">ทั่วไป!X33</f>
        <v>9</v>
      </c>
      <c r="Y10" s="367">
        <f ca="1">ทั่วไป!Y33</f>
        <v>5</v>
      </c>
      <c r="Z10" s="361">
        <f ca="1">ทั่วไป!Z33</f>
        <v>54</v>
      </c>
      <c r="AA10" s="362">
        <f ca="1">ทั่วไป!AA33</f>
        <v>53</v>
      </c>
      <c r="AB10" s="366">
        <f ca="1">ทั่วไป!AB33</f>
        <v>27</v>
      </c>
      <c r="AC10" s="364">
        <f ca="1">ทั่วไป!AC33</f>
        <v>87</v>
      </c>
      <c r="AD10" s="362">
        <f ca="1">ทั่วไป!AD33</f>
        <v>87</v>
      </c>
      <c r="AE10" s="367">
        <f ca="1">ทั่วไป!AE33</f>
        <v>43.5</v>
      </c>
      <c r="AF10" s="361">
        <f ca="1">ทั่วไป!AF33</f>
        <v>2</v>
      </c>
      <c r="AG10" s="362">
        <f ca="1">ทั่วไป!AG33</f>
        <v>2</v>
      </c>
      <c r="AH10" s="366">
        <f ca="1">ทั่วไป!AH33</f>
        <v>1</v>
      </c>
      <c r="AI10" s="364">
        <f ca="1">ทั่วไป!AI33</f>
        <v>0</v>
      </c>
      <c r="AJ10" s="362">
        <f ca="1">ทั่วไป!AJ33</f>
        <v>0</v>
      </c>
      <c r="AK10" s="367">
        <f ca="1">ทั่วไป!AK33</f>
        <v>0</v>
      </c>
      <c r="AL10" s="361">
        <f ca="1">ทั่วไป!AL33</f>
        <v>0</v>
      </c>
      <c r="AM10" s="362">
        <f ca="1">ทั่วไป!AM33</f>
        <v>0</v>
      </c>
      <c r="AN10" s="366">
        <f ca="1">ทั่วไป!AN33</f>
        <v>0</v>
      </c>
      <c r="AO10" s="364">
        <f ca="1">ทั่วไป!AO33</f>
        <v>2</v>
      </c>
      <c r="AP10" s="362">
        <f ca="1">ทั่วไป!AP33</f>
        <v>2</v>
      </c>
      <c r="AQ10" s="367">
        <f ca="1">ทั่วไป!AQ33</f>
        <v>1</v>
      </c>
      <c r="AR10" s="361">
        <f ca="1">ทั่วไป!AR33</f>
        <v>5</v>
      </c>
      <c r="AS10" s="362">
        <f ca="1">ทั่วไป!AS33</f>
        <v>5</v>
      </c>
      <c r="AT10" s="366">
        <f ca="1">ทั่วไป!AT33</f>
        <v>2.5</v>
      </c>
      <c r="AU10" s="364">
        <f ca="1">ทั่วไป!AU33</f>
        <v>0</v>
      </c>
      <c r="AV10" s="362">
        <f ca="1">ทั่วไป!AV33</f>
        <v>0</v>
      </c>
      <c r="AW10" s="366">
        <f ca="1">ทั่วไป!AW33</f>
        <v>0</v>
      </c>
      <c r="AX10" s="375">
        <v>1366</v>
      </c>
      <c r="AY10" s="375">
        <v>1344</v>
      </c>
      <c r="AZ10" s="347"/>
      <c r="BA10" s="347"/>
      <c r="BB10" s="347"/>
      <c r="BC10" s="347"/>
      <c r="BD10" s="347"/>
      <c r="BE10" s="347"/>
      <c r="BF10" s="347"/>
      <c r="BG10" s="347"/>
      <c r="BH10" s="347"/>
      <c r="BI10" s="347"/>
      <c r="BJ10" s="347"/>
      <c r="BK10" s="347"/>
      <c r="BL10" s="347"/>
      <c r="BM10" s="347"/>
      <c r="BN10" s="347"/>
      <c r="BO10" s="347"/>
      <c r="BP10" s="347"/>
      <c r="BQ10" s="347"/>
      <c r="BR10" s="347"/>
      <c r="BS10" s="347"/>
      <c r="BT10" s="347"/>
      <c r="BU10" s="347"/>
      <c r="BV10" s="347"/>
      <c r="BW10" s="347"/>
      <c r="BX10" s="347"/>
      <c r="BY10" s="347"/>
      <c r="BZ10" s="347"/>
      <c r="CA10" s="347"/>
      <c r="CB10" s="347"/>
    </row>
    <row r="11" spans="1:80" s="348" customFormat="1" ht="28.5" thickBot="1">
      <c r="A11" s="368" t="s">
        <v>132</v>
      </c>
      <c r="B11" s="369">
        <f ca="1">ทั่วไป!B34</f>
        <v>24</v>
      </c>
      <c r="C11" s="370">
        <f ca="1">ทั่วไป!C34</f>
        <v>27</v>
      </c>
      <c r="D11" s="371">
        <f ca="1">ทั่วไป!D34</f>
        <v>62</v>
      </c>
      <c r="E11" s="372">
        <f ca="1">ทั่วไป!E34</f>
        <v>179</v>
      </c>
      <c r="F11" s="370">
        <f ca="1">ทั่วไป!F34</f>
        <v>180</v>
      </c>
      <c r="G11" s="373">
        <f ca="1">ทั่วไป!G34</f>
        <v>263</v>
      </c>
      <c r="H11" s="369">
        <f ca="1">ทั่วไป!H34</f>
        <v>125</v>
      </c>
      <c r="I11" s="370">
        <f ca="1">ทั่วไป!I34</f>
        <v>125</v>
      </c>
      <c r="J11" s="371">
        <f ca="1">ทั่วไป!J34</f>
        <v>202.5</v>
      </c>
      <c r="K11" s="372">
        <f ca="1">ทั่วไป!K34</f>
        <v>132</v>
      </c>
      <c r="L11" s="370">
        <f ca="1">ทั่วไป!L34</f>
        <v>133</v>
      </c>
      <c r="M11" s="373">
        <f ca="1">ทั่วไป!M34</f>
        <v>162.5</v>
      </c>
      <c r="N11" s="369">
        <f ca="1">ทั่วไป!N34</f>
        <v>282</v>
      </c>
      <c r="O11" s="370">
        <f ca="1">ทั่วไป!O34</f>
        <v>277</v>
      </c>
      <c r="P11" s="371">
        <f ca="1">ทั่วไป!P34</f>
        <v>511.5</v>
      </c>
      <c r="Q11" s="372">
        <f ca="1">ทั่วไป!Q34</f>
        <v>46</v>
      </c>
      <c r="R11" s="370">
        <f ca="1">ทั่วไป!R34</f>
        <v>30</v>
      </c>
      <c r="S11" s="373">
        <f ca="1">ทั่วไป!S34</f>
        <v>67</v>
      </c>
      <c r="T11" s="369">
        <f ca="1">ทั่วไป!T34</f>
        <v>79</v>
      </c>
      <c r="U11" s="370">
        <f ca="1">ทั่วไป!U34</f>
        <v>78</v>
      </c>
      <c r="V11" s="371">
        <f ca="1">ทั่วไป!V34</f>
        <v>131.5</v>
      </c>
      <c r="W11" s="372">
        <f ca="1">ทั่วไป!W34</f>
        <v>170</v>
      </c>
      <c r="X11" s="370">
        <f ca="1">ทั่วไป!X34</f>
        <v>168</v>
      </c>
      <c r="Y11" s="373">
        <f ca="1">ทั่วไป!Y34</f>
        <v>292</v>
      </c>
      <c r="Z11" s="369">
        <f ca="1">ทั่วไป!Z34</f>
        <v>116</v>
      </c>
      <c r="AA11" s="370">
        <f ca="1">ทั่วไป!AA34</f>
        <v>112</v>
      </c>
      <c r="AB11" s="371">
        <f ca="1">ทั่วไป!AB34</f>
        <v>136</v>
      </c>
      <c r="AC11" s="372">
        <f ca="1">ทั่วไป!AC34</f>
        <v>123</v>
      </c>
      <c r="AD11" s="370">
        <f ca="1">ทั่วไป!AD34</f>
        <v>124</v>
      </c>
      <c r="AE11" s="373">
        <f ca="1">ทั่วไป!AE34</f>
        <v>115.5</v>
      </c>
      <c r="AF11" s="369">
        <f ca="1">ทั่วไป!AF34</f>
        <v>28</v>
      </c>
      <c r="AG11" s="370">
        <f ca="1">ทั่วไป!AG34</f>
        <v>27</v>
      </c>
      <c r="AH11" s="371">
        <f ca="1">ทั่วไป!AH34</f>
        <v>52</v>
      </c>
      <c r="AI11" s="372">
        <f ca="1">ทั่วไป!AI34</f>
        <v>17</v>
      </c>
      <c r="AJ11" s="370">
        <f ca="1">ทั่วไป!AJ34</f>
        <v>17</v>
      </c>
      <c r="AK11" s="373">
        <f ca="1">ทั่วไป!AK34</f>
        <v>35</v>
      </c>
      <c r="AL11" s="369">
        <f ca="1">ทั่วไป!AL34</f>
        <v>1</v>
      </c>
      <c r="AM11" s="370">
        <f ca="1">ทั่วไป!AM34</f>
        <v>1</v>
      </c>
      <c r="AN11" s="371">
        <f ca="1">ทั่วไป!AN34</f>
        <v>2</v>
      </c>
      <c r="AO11" s="372">
        <f ca="1">ทั่วไป!AO34</f>
        <v>26</v>
      </c>
      <c r="AP11" s="370">
        <f ca="1">ทั่วไป!AP34</f>
        <v>26</v>
      </c>
      <c r="AQ11" s="373">
        <f ca="1">ทั่วไป!AQ34</f>
        <v>48</v>
      </c>
      <c r="AR11" s="369">
        <f ca="1">ทั่วไป!AR34</f>
        <v>11</v>
      </c>
      <c r="AS11" s="370">
        <f ca="1">ทั่วไป!AS34</f>
        <v>11</v>
      </c>
      <c r="AT11" s="371">
        <f ca="1">ทั่วไป!AT34</f>
        <v>12.5</v>
      </c>
      <c r="AU11" s="372">
        <f ca="1">ทั่วไป!AU34</f>
        <v>7</v>
      </c>
      <c r="AV11" s="370">
        <f ca="1">ทั่วไป!AV34</f>
        <v>8</v>
      </c>
      <c r="AW11" s="371">
        <f ca="1">ทั่วไป!AW34</f>
        <v>12</v>
      </c>
      <c r="AX11" s="375">
        <v>28</v>
      </c>
      <c r="AY11" s="375">
        <v>62</v>
      </c>
      <c r="AZ11" s="347"/>
      <c r="BA11" s="347"/>
      <c r="BB11" s="347"/>
      <c r="BC11" s="347"/>
      <c r="BD11" s="347"/>
      <c r="BE11" s="347"/>
      <c r="BF11" s="347"/>
      <c r="BG11" s="347"/>
      <c r="BH11" s="347"/>
      <c r="BI11" s="347"/>
      <c r="BJ11" s="347"/>
      <c r="BK11" s="347"/>
      <c r="BL11" s="347"/>
      <c r="BM11" s="347"/>
      <c r="BN11" s="347"/>
      <c r="BO11" s="347"/>
      <c r="BP11" s="347"/>
      <c r="BQ11" s="347"/>
      <c r="BR11" s="347"/>
      <c r="BS11" s="347"/>
      <c r="BT11" s="347"/>
      <c r="BU11" s="347"/>
      <c r="BV11" s="347"/>
      <c r="BW11" s="347"/>
      <c r="BX11" s="347"/>
      <c r="BY11" s="347"/>
      <c r="BZ11" s="347"/>
      <c r="CA11" s="347"/>
      <c r="CB11" s="347"/>
    </row>
    <row r="12" spans="1:80" s="348" customFormat="1" ht="28.5" thickBot="1">
      <c r="A12" s="377" t="s">
        <v>65</v>
      </c>
      <c r="B12" s="378">
        <f t="shared" ref="B12:AW12" ca="1" si="0">SUM(B7:B11)</f>
        <v>404</v>
      </c>
      <c r="C12" s="379">
        <f t="shared" ca="1" si="0"/>
        <v>450</v>
      </c>
      <c r="D12" s="380">
        <f t="shared" ca="1" si="0"/>
        <v>324.5</v>
      </c>
      <c r="E12" s="381">
        <f t="shared" ca="1" si="0"/>
        <v>536</v>
      </c>
      <c r="F12" s="379">
        <f t="shared" ca="1" si="0"/>
        <v>652</v>
      </c>
      <c r="G12" s="382">
        <f t="shared" ca="1" si="0"/>
        <v>546.5</v>
      </c>
      <c r="H12" s="378">
        <f t="shared" ca="1" si="0"/>
        <v>814</v>
      </c>
      <c r="I12" s="379">
        <f t="shared" ca="1" si="0"/>
        <v>927</v>
      </c>
      <c r="J12" s="380">
        <f t="shared" ca="1" si="0"/>
        <v>794.5</v>
      </c>
      <c r="K12" s="381">
        <f t="shared" ca="1" si="0"/>
        <v>1187</v>
      </c>
      <c r="L12" s="379">
        <f t="shared" ca="1" si="0"/>
        <v>1297</v>
      </c>
      <c r="M12" s="382">
        <f t="shared" ca="1" si="0"/>
        <v>1740</v>
      </c>
      <c r="N12" s="378">
        <f t="shared" ca="1" si="0"/>
        <v>3233</v>
      </c>
      <c r="O12" s="379">
        <f t="shared" ca="1" si="0"/>
        <v>3521</v>
      </c>
      <c r="P12" s="380">
        <f t="shared" ca="1" si="0"/>
        <v>3159.5</v>
      </c>
      <c r="Q12" s="381">
        <f t="shared" ca="1" si="0"/>
        <v>347</v>
      </c>
      <c r="R12" s="379">
        <f t="shared" ca="1" si="0"/>
        <v>341</v>
      </c>
      <c r="S12" s="382">
        <f t="shared" ca="1" si="0"/>
        <v>235</v>
      </c>
      <c r="T12" s="378">
        <f t="shared" ca="1" si="0"/>
        <v>581</v>
      </c>
      <c r="U12" s="379">
        <f t="shared" ca="1" si="0"/>
        <v>628</v>
      </c>
      <c r="V12" s="380">
        <f t="shared" ca="1" si="0"/>
        <v>410</v>
      </c>
      <c r="W12" s="381">
        <f t="shared" ca="1" si="0"/>
        <v>572</v>
      </c>
      <c r="X12" s="379">
        <f t="shared" ca="1" si="0"/>
        <v>686</v>
      </c>
      <c r="Y12" s="382">
        <f t="shared" ca="1" si="0"/>
        <v>560.5</v>
      </c>
      <c r="Z12" s="378">
        <f t="shared" ca="1" si="0"/>
        <v>478</v>
      </c>
      <c r="AA12" s="379">
        <f t="shared" ca="1" si="0"/>
        <v>582</v>
      </c>
      <c r="AB12" s="380">
        <f t="shared" ca="1" si="0"/>
        <v>519.5</v>
      </c>
      <c r="AC12" s="381">
        <f t="shared" ca="1" si="0"/>
        <v>410</v>
      </c>
      <c r="AD12" s="379">
        <f t="shared" ca="1" si="0"/>
        <v>488</v>
      </c>
      <c r="AE12" s="382">
        <f t="shared" ca="1" si="0"/>
        <v>299</v>
      </c>
      <c r="AF12" s="378">
        <f t="shared" ca="1" si="0"/>
        <v>128</v>
      </c>
      <c r="AG12" s="379">
        <f t="shared" ca="1" si="0"/>
        <v>225</v>
      </c>
      <c r="AH12" s="380">
        <f t="shared" ca="1" si="0"/>
        <v>144.5</v>
      </c>
      <c r="AI12" s="381">
        <f t="shared" ca="1" si="0"/>
        <v>43</v>
      </c>
      <c r="AJ12" s="379">
        <f t="shared" ca="1" si="0"/>
        <v>58</v>
      </c>
      <c r="AK12" s="382">
        <f t="shared" ca="1" si="0"/>
        <v>73</v>
      </c>
      <c r="AL12" s="378">
        <f t="shared" ca="1" si="0"/>
        <v>4</v>
      </c>
      <c r="AM12" s="379">
        <f t="shared" ca="1" si="0"/>
        <v>4</v>
      </c>
      <c r="AN12" s="380">
        <f t="shared" ca="1" si="0"/>
        <v>3.5</v>
      </c>
      <c r="AO12" s="381">
        <f t="shared" ca="1" si="0"/>
        <v>769</v>
      </c>
      <c r="AP12" s="379">
        <f t="shared" ca="1" si="0"/>
        <v>1070</v>
      </c>
      <c r="AQ12" s="382">
        <f t="shared" ca="1" si="0"/>
        <v>434.5</v>
      </c>
      <c r="AR12" s="378">
        <f t="shared" ca="1" si="0"/>
        <v>81</v>
      </c>
      <c r="AS12" s="379">
        <f t="shared" ca="1" si="0"/>
        <v>103</v>
      </c>
      <c r="AT12" s="380">
        <f t="shared" ca="1" si="0"/>
        <v>55</v>
      </c>
      <c r="AU12" s="381">
        <f t="shared" ca="1" si="0"/>
        <v>29</v>
      </c>
      <c r="AV12" s="379">
        <f t="shared" ca="1" si="0"/>
        <v>94</v>
      </c>
      <c r="AW12" s="380">
        <f t="shared" ca="1" si="0"/>
        <v>23</v>
      </c>
      <c r="AX12" s="383">
        <f>SUM(AX7:AX11)</f>
        <v>14778</v>
      </c>
      <c r="AY12" s="383">
        <f>SUM(AY7:AY11)</f>
        <v>16600</v>
      </c>
      <c r="AZ12" s="347"/>
      <c r="BA12" s="347"/>
      <c r="BB12" s="347"/>
      <c r="BC12" s="347"/>
      <c r="BD12" s="347"/>
      <c r="BE12" s="347"/>
      <c r="BF12" s="347"/>
      <c r="BG12" s="347"/>
      <c r="BH12" s="347"/>
      <c r="BI12" s="347"/>
      <c r="BJ12" s="347"/>
      <c r="BK12" s="347"/>
      <c r="BL12" s="347"/>
      <c r="BM12" s="347"/>
      <c r="BN12" s="347"/>
      <c r="BO12" s="347"/>
      <c r="BP12" s="347"/>
      <c r="BQ12" s="347"/>
      <c r="BR12" s="347"/>
      <c r="BS12" s="347"/>
      <c r="BT12" s="347"/>
      <c r="BU12" s="347"/>
      <c r="BV12" s="347"/>
      <c r="BW12" s="347"/>
      <c r="BX12" s="347"/>
      <c r="BY12" s="347"/>
      <c r="BZ12" s="347"/>
      <c r="CA12" s="347"/>
      <c r="CB12" s="347"/>
    </row>
    <row r="13" spans="1:80" s="348" customFormat="1" ht="27.75">
      <c r="A13" s="550" t="s">
        <v>61</v>
      </c>
      <c r="B13" s="355"/>
      <c r="C13" s="356"/>
      <c r="D13" s="357"/>
      <c r="E13" s="358"/>
      <c r="F13" s="356"/>
      <c r="G13" s="359"/>
      <c r="H13" s="355"/>
      <c r="I13" s="356"/>
      <c r="J13" s="357"/>
      <c r="K13" s="358"/>
      <c r="L13" s="356"/>
      <c r="M13" s="359"/>
      <c r="N13" s="355"/>
      <c r="O13" s="356"/>
      <c r="P13" s="357"/>
      <c r="Q13" s="358"/>
      <c r="R13" s="356"/>
      <c r="S13" s="359"/>
      <c r="T13" s="355"/>
      <c r="U13" s="356"/>
      <c r="V13" s="357"/>
      <c r="W13" s="358"/>
      <c r="X13" s="356"/>
      <c r="Y13" s="359"/>
      <c r="Z13" s="355"/>
      <c r="AA13" s="356"/>
      <c r="AB13" s="357"/>
      <c r="AC13" s="358"/>
      <c r="AD13" s="356"/>
      <c r="AE13" s="359"/>
      <c r="AF13" s="355"/>
      <c r="AG13" s="356"/>
      <c r="AH13" s="357"/>
      <c r="AI13" s="358"/>
      <c r="AJ13" s="356"/>
      <c r="AK13" s="359"/>
      <c r="AL13" s="355"/>
      <c r="AM13" s="356"/>
      <c r="AN13" s="357"/>
      <c r="AO13" s="358"/>
      <c r="AP13" s="356"/>
      <c r="AQ13" s="359"/>
      <c r="AR13" s="355"/>
      <c r="AS13" s="356"/>
      <c r="AT13" s="357"/>
      <c r="AU13" s="358"/>
      <c r="AV13" s="356"/>
      <c r="AW13" s="357"/>
      <c r="AX13" s="549"/>
      <c r="AY13" s="549"/>
      <c r="AZ13" s="347"/>
      <c r="BA13" s="347"/>
      <c r="BB13" s="347"/>
      <c r="BC13" s="347"/>
      <c r="BD13" s="347"/>
      <c r="BE13" s="347"/>
      <c r="BF13" s="347"/>
      <c r="BG13" s="347"/>
      <c r="BH13" s="347"/>
      <c r="BI13" s="347"/>
      <c r="BJ13" s="347"/>
      <c r="BK13" s="347"/>
      <c r="BL13" s="347"/>
      <c r="BM13" s="347"/>
      <c r="BN13" s="347"/>
      <c r="BO13" s="347"/>
      <c r="BP13" s="347"/>
      <c r="BQ13" s="347"/>
      <c r="BR13" s="347"/>
      <c r="BS13" s="347"/>
      <c r="BT13" s="347"/>
      <c r="BU13" s="347"/>
      <c r="BV13" s="347"/>
      <c r="BW13" s="347"/>
      <c r="BX13" s="347"/>
      <c r="BY13" s="347"/>
      <c r="BZ13" s="347"/>
      <c r="CA13" s="347"/>
      <c r="CB13" s="347"/>
    </row>
    <row r="14" spans="1:80" s="348" customFormat="1" ht="27.75">
      <c r="A14" s="360" t="s">
        <v>66</v>
      </c>
      <c r="B14" s="361">
        <f ca="1">IFERROR(__xludf.DUMMYFUNCTION("IMPORTRANGE(""https://docs.google.com/spreadsheets/d/1u_5HmT3-RnSjbo8rH_K-Jubv3gAqQy2Z6s8R5ZGJCTc/edit#gid=1271166664"",""Total Report!D9"")"),3)</f>
        <v>3</v>
      </c>
      <c r="C14" s="362">
        <f ca="1">IFERROR(__xludf.DUMMYFUNCTION("IMPORTRANGE(""https://docs.google.com/spreadsheets/d/1u_5HmT3-RnSjbo8rH_K-Jubv3gAqQy2Z6s8R5ZGJCTc/edit#gid=1271166664"",""Total Report!E9"")"),3)</f>
        <v>3</v>
      </c>
      <c r="D14" s="366">
        <f ca="1">IFERROR(__xludf.DUMMYFUNCTION("IMPORTRANGE(""https://docs.google.com/spreadsheets/d/1u_5HmT3-RnSjbo8rH_K-Jubv3gAqQy2Z6s8R5ZGJCTc/edit#gid=1271166664"",""Total Report!F9"")"),15)</f>
        <v>15</v>
      </c>
      <c r="E14" s="364">
        <f ca="1">IFERROR(__xludf.DUMMYFUNCTION("IMPORTRANGE(""https://docs.google.com/spreadsheets/d/1u_5HmT3-RnSjbo8rH_K-Jubv3gAqQy2Z6s8R5ZGJCTc/edit#gid=1271166664"",""Total Report!G9"")"),4)</f>
        <v>4</v>
      </c>
      <c r="F14" s="362">
        <f ca="1">IFERROR(__xludf.DUMMYFUNCTION("IMPORTRANGE(""https://docs.google.com/spreadsheets/d/1u_5HmT3-RnSjbo8rH_K-Jubv3gAqQy2Z6s8R5ZGJCTc/edit#gid=1271166664"",""Total Report!H9"")"),4)</f>
        <v>4</v>
      </c>
      <c r="G14" s="367">
        <f ca="1">IFERROR(__xludf.DUMMYFUNCTION("IMPORTRANGE(""https://docs.google.com/spreadsheets/d/1u_5HmT3-RnSjbo8rH_K-Jubv3gAqQy2Z6s8R5ZGJCTc/edit#gid=1271166664"",""Total Report!I9"")"),20)</f>
        <v>20</v>
      </c>
      <c r="H14" s="361">
        <f ca="1">IFERROR(__xludf.DUMMYFUNCTION("IMPORTRANGE(""https://docs.google.com/spreadsheets/d/1u_5HmT3-RnSjbo8rH_K-Jubv3gAqQy2Z6s8R5ZGJCTc/edit#gid=1271166664"",""Total Report!J9"")"),1)</f>
        <v>1</v>
      </c>
      <c r="I14" s="362">
        <f ca="1">IFERROR(__xludf.DUMMYFUNCTION("IMPORTRANGE(""https://docs.google.com/spreadsheets/d/1u_5HmT3-RnSjbo8rH_K-Jubv3gAqQy2Z6s8R5ZGJCTc/edit#gid=1271166664"",""Total Report!K9"")"),1)</f>
        <v>1</v>
      </c>
      <c r="J14" s="366">
        <f ca="1">IFERROR(__xludf.DUMMYFUNCTION("IMPORTRANGE(""https://docs.google.com/spreadsheets/d/1u_5HmT3-RnSjbo8rH_K-Jubv3gAqQy2Z6s8R5ZGJCTc/edit#gid=1271166664"",""Total Report!L9"")"),5)</f>
        <v>5</v>
      </c>
      <c r="K14" s="364">
        <f ca="1">IFERROR(__xludf.DUMMYFUNCTION("IMPORTRANGE(""https://docs.google.com/spreadsheets/d/1u_5HmT3-RnSjbo8rH_K-Jubv3gAqQy2Z6s8R5ZGJCTc/edit#gid=1271166664"",""Total Report!M9"")"),0)</f>
        <v>0</v>
      </c>
      <c r="L14" s="362">
        <f ca="1">IFERROR(__xludf.DUMMYFUNCTION("IMPORTRANGE(""https://docs.google.com/spreadsheets/d/1u_5HmT3-RnSjbo8rH_K-Jubv3gAqQy2Z6s8R5ZGJCTc/edit#gid=1271166664"",""Total Report!N9"")"),0)</f>
        <v>0</v>
      </c>
      <c r="M14" s="367">
        <f ca="1">IFERROR(__xludf.DUMMYFUNCTION("IMPORTRANGE(""https://docs.google.com/spreadsheets/d/1u_5HmT3-RnSjbo8rH_K-Jubv3gAqQy2Z6s8R5ZGJCTc/edit#gid=1271166664"",""Total Report!O9"")"),0)</f>
        <v>0</v>
      </c>
      <c r="N14" s="361">
        <f ca="1">IFERROR(__xludf.DUMMYFUNCTION("IMPORTRANGE(""https://docs.google.com/spreadsheets/d/1u_5HmT3-RnSjbo8rH_K-Jubv3gAqQy2Z6s8R5ZGJCTc/edit#gid=1271166664"",""Total Report!P9"")"),5)</f>
        <v>5</v>
      </c>
      <c r="O14" s="362">
        <f ca="1">IFERROR(__xludf.DUMMYFUNCTION("IMPORTRANGE(""https://docs.google.com/spreadsheets/d/1u_5HmT3-RnSjbo8rH_K-Jubv3gAqQy2Z6s8R5ZGJCTc/edit#gid=1271166664"",""Total Report!Q9"")"),5)</f>
        <v>5</v>
      </c>
      <c r="P14" s="366">
        <f ca="1">IFERROR(__xludf.DUMMYFUNCTION("IMPORTRANGE(""https://docs.google.com/spreadsheets/d/1u_5HmT3-RnSjbo8rH_K-Jubv3gAqQy2Z6s8R5ZGJCTc/edit#gid=1271166664"",""Total Report!R9"")"),25)</f>
        <v>25</v>
      </c>
      <c r="Q14" s="364">
        <f ca="1">IFERROR(__xludf.DUMMYFUNCTION("IMPORTRANGE(""https://docs.google.com/spreadsheets/d/1u_5HmT3-RnSjbo8rH_K-Jubv3gAqQy2Z6s8R5ZGJCTc/edit#gid=1271166664"",""Total Report!S9"")"),0)</f>
        <v>0</v>
      </c>
      <c r="R14" s="362">
        <f ca="1">IFERROR(__xludf.DUMMYFUNCTION("IMPORTRANGE(""https://docs.google.com/spreadsheets/d/1u_5HmT3-RnSjbo8rH_K-Jubv3gAqQy2Z6s8R5ZGJCTc/edit#gid=1271166664"",""Total Report!T9"")"),0)</f>
        <v>0</v>
      </c>
      <c r="S14" s="367">
        <f ca="1">IFERROR(__xludf.DUMMYFUNCTION("IMPORTRANGE(""https://docs.google.com/spreadsheets/d/1u_5HmT3-RnSjbo8rH_K-Jubv3gAqQy2Z6s8R5ZGJCTc/edit#gid=1271166664"",""Total Report!U9"")"),0)</f>
        <v>0</v>
      </c>
      <c r="T14" s="361">
        <f ca="1">IFERROR(__xludf.DUMMYFUNCTION("IMPORTRANGE(""https://docs.google.com/spreadsheets/d/1u_5HmT3-RnSjbo8rH_K-Jubv3gAqQy2Z6s8R5ZGJCTc/edit#gid=1271166664"",""Total Report!V9"")"),1)</f>
        <v>1</v>
      </c>
      <c r="U14" s="362">
        <f ca="1">IFERROR(__xludf.DUMMYFUNCTION("IMPORTRANGE(""https://docs.google.com/spreadsheets/d/1u_5HmT3-RnSjbo8rH_K-Jubv3gAqQy2Z6s8R5ZGJCTc/edit#gid=1271166664"",""Total Report!W9"")"),1)</f>
        <v>1</v>
      </c>
      <c r="V14" s="366">
        <f ca="1">IFERROR(__xludf.DUMMYFUNCTION("IMPORTRANGE(""https://docs.google.com/spreadsheets/d/1u_5HmT3-RnSjbo8rH_K-Jubv3gAqQy2Z6s8R5ZGJCTc/edit#gid=1271166664"",""Total Report!X9"")"),5)</f>
        <v>5</v>
      </c>
      <c r="W14" s="364">
        <f ca="1">IFERROR(__xludf.DUMMYFUNCTION("IMPORTRANGE(""https://docs.google.com/spreadsheets/d/1u_5HmT3-RnSjbo8rH_K-Jubv3gAqQy2Z6s8R5ZGJCTc/edit#gid=1271166664"",""Total Report!Y9"")"),1)</f>
        <v>1</v>
      </c>
      <c r="X14" s="362">
        <f ca="1">IFERROR(__xludf.DUMMYFUNCTION("IMPORTRANGE(""https://docs.google.com/spreadsheets/d/1u_5HmT3-RnSjbo8rH_K-Jubv3gAqQy2Z6s8R5ZGJCTc/edit#gid=1271166664"",""Total Report!Z9"")"),1)</f>
        <v>1</v>
      </c>
      <c r="Y14" s="367">
        <f ca="1">IFERROR(__xludf.DUMMYFUNCTION("IMPORTRANGE(""https://docs.google.com/spreadsheets/d/1u_5HmT3-RnSjbo8rH_K-Jubv3gAqQy2Z6s8R5ZGJCTc/edit#gid=1271166664"",""Total Report!AA9"")"),5)</f>
        <v>5</v>
      </c>
      <c r="Z14" s="361">
        <f ca="1">IFERROR(__xludf.DUMMYFUNCTION("IMPORTRANGE(""https://docs.google.com/spreadsheets/d/1u_5HmT3-RnSjbo8rH_K-Jubv3gAqQy2Z6s8R5ZGJCTc/edit#gid=1271166664"",""Total Report!AB9"")"),0)</f>
        <v>0</v>
      </c>
      <c r="AA14" s="362">
        <f ca="1">IFERROR(__xludf.DUMMYFUNCTION("IMPORTRANGE(""https://docs.google.com/spreadsheets/d/1u_5HmT3-RnSjbo8rH_K-Jubv3gAqQy2Z6s8R5ZGJCTc/edit#gid=1271166664"",""Total Report!AC9"")"),0)</f>
        <v>0</v>
      </c>
      <c r="AB14" s="366">
        <f ca="1">IFERROR(__xludf.DUMMYFUNCTION("IMPORTRANGE(""https://docs.google.com/spreadsheets/d/1u_5HmT3-RnSjbo8rH_K-Jubv3gAqQy2Z6s8R5ZGJCTc/edit#gid=1271166664"",""Total Report!AD9"")"),0)</f>
        <v>0</v>
      </c>
      <c r="AC14" s="364">
        <f ca="1">IFERROR(__xludf.DUMMYFUNCTION("IMPORTRANGE(""https://docs.google.com/spreadsheets/d/1u_5HmT3-RnSjbo8rH_K-Jubv3gAqQy2Z6s8R5ZGJCTc/edit#gid=1271166664"",""Total Report!AE9"")"),2)</f>
        <v>2</v>
      </c>
      <c r="AD14" s="362">
        <f ca="1">IFERROR(__xludf.DUMMYFUNCTION("IMPORTRANGE(""https://docs.google.com/spreadsheets/d/1u_5HmT3-RnSjbo8rH_K-Jubv3gAqQy2Z6s8R5ZGJCTc/edit#gid=1271166664"",""Total Report!AF9"")"),1)</f>
        <v>1</v>
      </c>
      <c r="AE14" s="367">
        <f ca="1">IFERROR(__xludf.DUMMYFUNCTION("IMPORTRANGE(""https://docs.google.com/spreadsheets/d/1u_5HmT3-RnSjbo8rH_K-Jubv3gAqQy2Z6s8R5ZGJCTc/edit#gid=1271166664"",""Total Report!AG9"")"),10)</f>
        <v>10</v>
      </c>
      <c r="AF14" s="361">
        <f ca="1">IFERROR(__xludf.DUMMYFUNCTION("IMPORTRANGE(""https://docs.google.com/spreadsheets/d/1u_5HmT3-RnSjbo8rH_K-Jubv3gAqQy2Z6s8R5ZGJCTc/edit#gid=1271166664"",""Total Report!AH9"")"),0)</f>
        <v>0</v>
      </c>
      <c r="AG14" s="362">
        <f ca="1">IFERROR(__xludf.DUMMYFUNCTION("IMPORTRANGE(""https://docs.google.com/spreadsheets/d/1u_5HmT3-RnSjbo8rH_K-Jubv3gAqQy2Z6s8R5ZGJCTc/edit#gid=1271166664"",""Total Report!AI9"")"),0)</f>
        <v>0</v>
      </c>
      <c r="AH14" s="366">
        <f ca="1">IFERROR(__xludf.DUMMYFUNCTION("IMPORTRANGE(""https://docs.google.com/spreadsheets/d/1u_5HmT3-RnSjbo8rH_K-Jubv3gAqQy2Z6s8R5ZGJCTc/edit#gid=1271166664"",""Total Report!AJ9"")"),0)</f>
        <v>0</v>
      </c>
      <c r="AI14" s="364">
        <f ca="1">IFERROR(__xludf.DUMMYFUNCTION("IMPORTRANGE(""https://docs.google.com/spreadsheets/d/1u_5HmT3-RnSjbo8rH_K-Jubv3gAqQy2Z6s8R5ZGJCTc/edit#gid=1271166664"",""Total Report!AK9"")"),6)</f>
        <v>6</v>
      </c>
      <c r="AJ14" s="362">
        <f ca="1">IFERROR(__xludf.DUMMYFUNCTION("IMPORTRANGE(""https://docs.google.com/spreadsheets/d/1u_5HmT3-RnSjbo8rH_K-Jubv3gAqQy2Z6s8R5ZGJCTc/edit#gid=1271166664"",""Total Report!AL9"")"),7)</f>
        <v>7</v>
      </c>
      <c r="AK14" s="367">
        <f ca="1">IFERROR(__xludf.DUMMYFUNCTION("IMPORTRANGE(""https://docs.google.com/spreadsheets/d/1u_5HmT3-RnSjbo8rH_K-Jubv3gAqQy2Z6s8R5ZGJCTc/edit#gid=1271166664"",""Total Report!AM9"")"),30)</f>
        <v>30</v>
      </c>
      <c r="AL14" s="361">
        <f ca="1">IFERROR(__xludf.DUMMYFUNCTION("IMPORTRANGE(""https://docs.google.com/spreadsheets/d/1u_5HmT3-RnSjbo8rH_K-Jubv3gAqQy2Z6s8R5ZGJCTc/edit#gid=1271166664"",""Total Report!AN9"")"),0)</f>
        <v>0</v>
      </c>
      <c r="AM14" s="362">
        <f ca="1">IFERROR(__xludf.DUMMYFUNCTION("IMPORTRANGE(""https://docs.google.com/spreadsheets/d/1u_5HmT3-RnSjbo8rH_K-Jubv3gAqQy2Z6s8R5ZGJCTc/edit#gid=1271166664"",""Total Report!AO9"")"),0)</f>
        <v>0</v>
      </c>
      <c r="AN14" s="366">
        <f ca="1">IFERROR(__xludf.DUMMYFUNCTION("IMPORTRANGE(""https://docs.google.com/spreadsheets/d/1u_5HmT3-RnSjbo8rH_K-Jubv3gAqQy2Z6s8R5ZGJCTc/edit#gid=1271166664"",""Total Report!AP9"")"),0)</f>
        <v>0</v>
      </c>
      <c r="AO14" s="364">
        <f ca="1">IFERROR(__xludf.DUMMYFUNCTION("IMPORTRANGE(""https://docs.google.com/spreadsheets/d/1u_5HmT3-RnSjbo8rH_K-Jubv3gAqQy2Z6s8R5ZGJCTc/edit#gid=1271166664"",""Total Report!AQ9"")"),0)</f>
        <v>0</v>
      </c>
      <c r="AP14" s="362">
        <f ca="1">IFERROR(__xludf.DUMMYFUNCTION("IMPORTRANGE(""https://docs.google.com/spreadsheets/d/1u_5HmT3-RnSjbo8rH_K-Jubv3gAqQy2Z6s8R5ZGJCTc/edit#gid=1271166664"",""Total Report!AR9"")"),0)</f>
        <v>0</v>
      </c>
      <c r="AQ14" s="367">
        <f ca="1">IFERROR(__xludf.DUMMYFUNCTION("IMPORTRANGE(""https://docs.google.com/spreadsheets/d/1u_5HmT3-RnSjbo8rH_K-Jubv3gAqQy2Z6s8R5ZGJCTc/edit#gid=1271166664"",""Total Report!AS9"")"),0)</f>
        <v>0</v>
      </c>
      <c r="AR14" s="361">
        <f ca="1">IFERROR(__xludf.DUMMYFUNCTION("IMPORTRANGE(""https://docs.google.com/spreadsheets/d/1u_5HmT3-RnSjbo8rH_K-Jubv3gAqQy2Z6s8R5ZGJCTc/edit#gid=1271166664"",""Total Report!AT9"")"),2)</f>
        <v>2</v>
      </c>
      <c r="AS14" s="362">
        <f ca="1">IFERROR(__xludf.DUMMYFUNCTION("IMPORTRANGE(""https://docs.google.com/spreadsheets/d/1u_5HmT3-RnSjbo8rH_K-Jubv3gAqQy2Z6s8R5ZGJCTc/edit#gid=1271166664"",""Total Report!AU9"")"),2)</f>
        <v>2</v>
      </c>
      <c r="AT14" s="366">
        <f ca="1">IFERROR(__xludf.DUMMYFUNCTION("IMPORTRANGE(""https://docs.google.com/spreadsheets/d/1u_5HmT3-RnSjbo8rH_K-Jubv3gAqQy2Z6s8R5ZGJCTc/edit#gid=1271166664"",""Total Report!AV9"")"),10)</f>
        <v>10</v>
      </c>
      <c r="AU14" s="364">
        <f ca="1">IFERROR(__xludf.DUMMYFUNCTION("IMPORTRANGE(""https://docs.google.com/spreadsheets/d/1u_5HmT3-RnSjbo8rH_K-Jubv3gAqQy2Z6s8R5ZGJCTc/edit#gid=1271166664"",""Total Report!AW9"")"),0)</f>
        <v>0</v>
      </c>
      <c r="AV14" s="362">
        <f ca="1">IFERROR(__xludf.DUMMYFUNCTION("IMPORTRANGE(""https://docs.google.com/spreadsheets/d/1u_5HmT3-RnSjbo8rH_K-Jubv3gAqQy2Z6s8R5ZGJCTc/edit#gid=1271166664"",""Total Report!AX9"")"),0)</f>
        <v>0</v>
      </c>
      <c r="AW14" s="366">
        <f ca="1">IFERROR(__xludf.DUMMYFUNCTION("IMPORTRANGE(""https://docs.google.com/spreadsheets/d/1u_5HmT3-RnSjbo8rH_K-Jubv3gAqQy2Z6s8R5ZGJCTc/edit#gid=1271166664"",""Total Report!AY9"")"),0)</f>
        <v>0</v>
      </c>
      <c r="AX14" s="375">
        <f ca="1">SUM(B14,E14,H14,K14,N14,Q14,T14,W14,Z14,AC14,AF14,AI14,AL14,AO14,AR14,AU14)</f>
        <v>25</v>
      </c>
      <c r="AY14" s="375">
        <f ca="1">SUM(C14,F14,I14,L14,O14,R14,U14,X14,AA14,AD14,AG14,AJ14,AM14,AP14,AS14,AV14)</f>
        <v>25</v>
      </c>
      <c r="AZ14" s="347"/>
      <c r="BA14" s="347"/>
      <c r="BB14" s="347"/>
      <c r="BC14" s="347"/>
      <c r="BD14" s="347"/>
      <c r="BE14" s="347"/>
      <c r="BF14" s="347"/>
      <c r="BG14" s="347"/>
      <c r="BH14" s="347"/>
      <c r="BI14" s="347"/>
      <c r="BJ14" s="347"/>
      <c r="BK14" s="347"/>
      <c r="BL14" s="347"/>
      <c r="BM14" s="347"/>
      <c r="BN14" s="347"/>
      <c r="BO14" s="347"/>
      <c r="BP14" s="347"/>
      <c r="BQ14" s="347"/>
      <c r="BR14" s="347"/>
      <c r="BS14" s="347"/>
      <c r="BT14" s="347"/>
      <c r="BU14" s="347"/>
      <c r="BV14" s="347"/>
      <c r="BW14" s="347"/>
      <c r="BX14" s="347"/>
      <c r="BY14" s="347"/>
      <c r="BZ14" s="347"/>
      <c r="CA14" s="347"/>
      <c r="CB14" s="347"/>
    </row>
    <row r="15" spans="1:80" s="348" customFormat="1" ht="27.75">
      <c r="A15" s="360" t="s">
        <v>67</v>
      </c>
      <c r="B15" s="361">
        <f ca="1">IFERROR(__xludf.DUMMYFUNCTION("IMPORTRANGE(""https://docs.google.com/spreadsheets/d/1u_5HmT3-RnSjbo8rH_K-Jubv3gAqQy2Z6s8R5ZGJCTc/edit#gid=1271166664"",""Total Report!D17"")"),16)</f>
        <v>16</v>
      </c>
      <c r="C15" s="362">
        <f ca="1">IFERROR(__xludf.DUMMYFUNCTION("IMPORTRANGE(""https://docs.google.com/spreadsheets/d/1u_5HmT3-RnSjbo8rH_K-Jubv3gAqQy2Z6s8R5ZGJCTc/edit#gid=1271166664"",""Total Report!E17"")"),17)</f>
        <v>17</v>
      </c>
      <c r="D15" s="366">
        <f ca="1">IFERROR(__xludf.DUMMYFUNCTION("IMPORTRANGE(""https://docs.google.com/spreadsheets/d/1u_5HmT3-RnSjbo8rH_K-Jubv3gAqQy2Z6s8R5ZGJCTc/edit#gid=1271166664"",""Total Report!F17"")"),54)</f>
        <v>54</v>
      </c>
      <c r="E15" s="364">
        <f ca="1">IFERROR(__xludf.DUMMYFUNCTION("IMPORTRANGE(""https://docs.google.com/spreadsheets/d/1u_5HmT3-RnSjbo8rH_K-Jubv3gAqQy2Z6s8R5ZGJCTc/edit#gid=1271166664"",""Total Report!G17"")"),7)</f>
        <v>7</v>
      </c>
      <c r="F15" s="362">
        <f ca="1">IFERROR(__xludf.DUMMYFUNCTION("IMPORTRANGE(""https://docs.google.com/spreadsheets/d/1u_5HmT3-RnSjbo8rH_K-Jubv3gAqQy2Z6s8R5ZGJCTc/edit#gid=1271166664"",""Total Report!H17"")"),7)</f>
        <v>7</v>
      </c>
      <c r="G15" s="367">
        <f ca="1">IFERROR(__xludf.DUMMYFUNCTION("IMPORTRANGE(""https://docs.google.com/spreadsheets/d/1u_5HmT3-RnSjbo8rH_K-Jubv3gAqQy2Z6s8R5ZGJCTc/edit#gid=1271166664"",""Total Report!I17"")"),28)</f>
        <v>28</v>
      </c>
      <c r="H15" s="361">
        <f ca="1">IFERROR(__xludf.DUMMYFUNCTION("IMPORTRANGE(""https://docs.google.com/spreadsheets/d/1u_5HmT3-RnSjbo8rH_K-Jubv3gAqQy2Z6s8R5ZGJCTc/edit#gid=1271166664"",""Total Report!J17"")"),5)</f>
        <v>5</v>
      </c>
      <c r="I15" s="362">
        <f ca="1">IFERROR(__xludf.DUMMYFUNCTION("IMPORTRANGE(""https://docs.google.com/spreadsheets/d/1u_5HmT3-RnSjbo8rH_K-Jubv3gAqQy2Z6s8R5ZGJCTc/edit#gid=1271166664"",""Total Report!K17"")"),6)</f>
        <v>6</v>
      </c>
      <c r="J15" s="366">
        <f ca="1">IFERROR(__xludf.DUMMYFUNCTION("IMPORTRANGE(""https://docs.google.com/spreadsheets/d/1u_5HmT3-RnSjbo8rH_K-Jubv3gAqQy2Z6s8R5ZGJCTc/edit#gid=1271166664"",""Total Report!L17"")"),18)</f>
        <v>18</v>
      </c>
      <c r="K15" s="364">
        <f ca="1">IFERROR(__xludf.DUMMYFUNCTION("IMPORTRANGE(""https://docs.google.com/spreadsheets/d/1u_5HmT3-RnSjbo8rH_K-Jubv3gAqQy2Z6s8R5ZGJCTc/edit#gid=1271166664"",""Total Report!M17"")"),1)</f>
        <v>1</v>
      </c>
      <c r="L15" s="362">
        <f ca="1">IFERROR(__xludf.DUMMYFUNCTION("IMPORTRANGE(""https://docs.google.com/spreadsheets/d/1u_5HmT3-RnSjbo8rH_K-Jubv3gAqQy2Z6s8R5ZGJCTc/edit#gid=1271166664"",""Total Report!N17"")"),1)</f>
        <v>1</v>
      </c>
      <c r="M15" s="367">
        <f ca="1">IFERROR(__xludf.DUMMYFUNCTION("IMPORTRANGE(""https://docs.google.com/spreadsheets/d/1u_5HmT3-RnSjbo8rH_K-Jubv3gAqQy2Z6s8R5ZGJCTc/edit#gid=1271166664"",""Total Report!O17"")"),4)</f>
        <v>4</v>
      </c>
      <c r="N15" s="361">
        <f ca="1">IFERROR(__xludf.DUMMYFUNCTION("IMPORTRANGE(""https://docs.google.com/spreadsheets/d/1u_5HmT3-RnSjbo8rH_K-Jubv3gAqQy2Z6s8R5ZGJCTc/edit#gid=1271166664"",""Total Report!P17"")"),17)</f>
        <v>17</v>
      </c>
      <c r="O15" s="362">
        <f ca="1">IFERROR(__xludf.DUMMYFUNCTION("IMPORTRANGE(""https://docs.google.com/spreadsheets/d/1u_5HmT3-RnSjbo8rH_K-Jubv3gAqQy2Z6s8R5ZGJCTc/edit#gid=1271166664"",""Total Report!Q17"")"),17)</f>
        <v>17</v>
      </c>
      <c r="P15" s="366">
        <f ca="1">IFERROR(__xludf.DUMMYFUNCTION("IMPORTRANGE(""https://docs.google.com/spreadsheets/d/1u_5HmT3-RnSjbo8rH_K-Jubv3gAqQy2Z6s8R5ZGJCTc/edit#gid=1271166664"",""Total Report!R17"")"),76)</f>
        <v>76</v>
      </c>
      <c r="Q15" s="364">
        <f ca="1">IFERROR(__xludf.DUMMYFUNCTION("IMPORTRANGE(""https://docs.google.com/spreadsheets/d/1u_5HmT3-RnSjbo8rH_K-Jubv3gAqQy2Z6s8R5ZGJCTc/edit#gid=1271166664"",""Total Report!S17"")"),6)</f>
        <v>6</v>
      </c>
      <c r="R15" s="362">
        <f ca="1">IFERROR(__xludf.DUMMYFUNCTION("IMPORTRANGE(""https://docs.google.com/spreadsheets/d/1u_5HmT3-RnSjbo8rH_K-Jubv3gAqQy2Z6s8R5ZGJCTc/edit#gid=1271166664"",""Total Report!T17"")"),6)</f>
        <v>6</v>
      </c>
      <c r="S15" s="367">
        <f ca="1">IFERROR(__xludf.DUMMYFUNCTION("IMPORTRANGE(""https://docs.google.com/spreadsheets/d/1u_5HmT3-RnSjbo8rH_K-Jubv3gAqQy2Z6s8R5ZGJCTc/edit#gid=1271166664"",""Total Report!U17"")"),24)</f>
        <v>24</v>
      </c>
      <c r="T15" s="361">
        <f ca="1">IFERROR(__xludf.DUMMYFUNCTION("IMPORTRANGE(""https://docs.google.com/spreadsheets/d/1u_5HmT3-RnSjbo8rH_K-Jubv3gAqQy2Z6s8R5ZGJCTc/edit#gid=1271166664"",""Total Report!V17"")"),3)</f>
        <v>3</v>
      </c>
      <c r="U15" s="362">
        <f ca="1">IFERROR(__xludf.DUMMYFUNCTION("IMPORTRANGE(""https://docs.google.com/spreadsheets/d/1u_5HmT3-RnSjbo8rH_K-Jubv3gAqQy2Z6s8R5ZGJCTc/edit#gid=1271166664"",""Total Report!W17"")"),2)</f>
        <v>2</v>
      </c>
      <c r="V15" s="366">
        <f ca="1">IFERROR(__xludf.DUMMYFUNCTION("IMPORTRANGE(""https://docs.google.com/spreadsheets/d/1u_5HmT3-RnSjbo8rH_K-Jubv3gAqQy2Z6s8R5ZGJCTc/edit#gid=1271166664"",""Total Report!X17"")"),11)</f>
        <v>11</v>
      </c>
      <c r="W15" s="364">
        <f ca="1">IFERROR(__xludf.DUMMYFUNCTION("IMPORTRANGE(""https://docs.google.com/spreadsheets/d/1u_5HmT3-RnSjbo8rH_K-Jubv3gAqQy2Z6s8R5ZGJCTc/edit#gid=1271166664"",""Total Report!Y17"")"),3)</f>
        <v>3</v>
      </c>
      <c r="X15" s="362">
        <f ca="1">IFERROR(__xludf.DUMMYFUNCTION("IMPORTRANGE(""https://docs.google.com/spreadsheets/d/1u_5HmT3-RnSjbo8rH_K-Jubv3gAqQy2Z6s8R5ZGJCTc/edit#gid=1271166664"",""Total Report!Z17"")"),4)</f>
        <v>4</v>
      </c>
      <c r="Y15" s="367">
        <f ca="1">IFERROR(__xludf.DUMMYFUNCTION("IMPORTRANGE(""https://docs.google.com/spreadsheets/d/1u_5HmT3-RnSjbo8rH_K-Jubv3gAqQy2Z6s8R5ZGJCTc/edit#gid=1271166664"",""Total Report!AA17"")"),11)</f>
        <v>11</v>
      </c>
      <c r="Z15" s="361">
        <f ca="1">IFERROR(__xludf.DUMMYFUNCTION("IMPORTRANGE(""https://docs.google.com/spreadsheets/d/1u_5HmT3-RnSjbo8rH_K-Jubv3gAqQy2Z6s8R5ZGJCTc/edit#gid=1271166664"",""Total Report!AB17"")"),2)</f>
        <v>2</v>
      </c>
      <c r="AA15" s="362">
        <f ca="1">IFERROR(__xludf.DUMMYFUNCTION("IMPORTRANGE(""https://docs.google.com/spreadsheets/d/1u_5HmT3-RnSjbo8rH_K-Jubv3gAqQy2Z6s8R5ZGJCTc/edit#gid=1271166664"",""Total Report!AC17"")"),2)</f>
        <v>2</v>
      </c>
      <c r="AB15" s="366">
        <f ca="1">IFERROR(__xludf.DUMMYFUNCTION("IMPORTRANGE(""https://docs.google.com/spreadsheets/d/1u_5HmT3-RnSjbo8rH_K-Jubv3gAqQy2Z6s8R5ZGJCTc/edit#gid=1271166664"",""Total Report!AD17"")"),8)</f>
        <v>8</v>
      </c>
      <c r="AC15" s="364">
        <f ca="1">IFERROR(__xludf.DUMMYFUNCTION("IMPORTRANGE(""https://docs.google.com/spreadsheets/d/1u_5HmT3-RnSjbo8rH_K-Jubv3gAqQy2Z6s8R5ZGJCTc/edit#gid=1271166664"",""Total Report!AE17"")"),16)</f>
        <v>16</v>
      </c>
      <c r="AD15" s="362">
        <f ca="1">IFERROR(__xludf.DUMMYFUNCTION("IMPORTRANGE(""https://docs.google.com/spreadsheets/d/1u_5HmT3-RnSjbo8rH_K-Jubv3gAqQy2Z6s8R5ZGJCTc/edit#gid=1271166664"",""Total Report!AF17"")"),20)</f>
        <v>20</v>
      </c>
      <c r="AE15" s="367">
        <f ca="1">IFERROR(__xludf.DUMMYFUNCTION("IMPORTRANGE(""https://docs.google.com/spreadsheets/d/1u_5HmT3-RnSjbo8rH_K-Jubv3gAqQy2Z6s8R5ZGJCTc/edit#gid=1271166664"",""Total Report!AG17"")"),68)</f>
        <v>68</v>
      </c>
      <c r="AF15" s="361">
        <f ca="1">IFERROR(__xludf.DUMMYFUNCTION("IMPORTRANGE(""https://docs.google.com/spreadsheets/d/1u_5HmT3-RnSjbo8rH_K-Jubv3gAqQy2Z6s8R5ZGJCTc/edit#gid=1271166664"",""Total Report!AH17"")"),16)</f>
        <v>16</v>
      </c>
      <c r="AG15" s="362">
        <f ca="1">IFERROR(__xludf.DUMMYFUNCTION("IMPORTRANGE(""https://docs.google.com/spreadsheets/d/1u_5HmT3-RnSjbo8rH_K-Jubv3gAqQy2Z6s8R5ZGJCTc/edit#gid=1271166664"",""Total Report!AI17"")"),15)</f>
        <v>15</v>
      </c>
      <c r="AH15" s="366">
        <f ca="1">IFERROR(__xludf.DUMMYFUNCTION("IMPORTRANGE(""https://docs.google.com/spreadsheets/d/1u_5HmT3-RnSjbo8rH_K-Jubv3gAqQy2Z6s8R5ZGJCTc/edit#gid=1271166664"",""Total Report!AJ17"")"),71)</f>
        <v>71</v>
      </c>
      <c r="AI15" s="364">
        <f ca="1">IFERROR(__xludf.DUMMYFUNCTION("IMPORTRANGE(""https://docs.google.com/spreadsheets/d/1u_5HmT3-RnSjbo8rH_K-Jubv3gAqQy2Z6s8R5ZGJCTc/edit#gid=1271166664"",""Total Report!AK17"")"),13)</f>
        <v>13</v>
      </c>
      <c r="AJ15" s="362">
        <f ca="1">IFERROR(__xludf.DUMMYFUNCTION("IMPORTRANGE(""https://docs.google.com/spreadsheets/d/1u_5HmT3-RnSjbo8rH_K-Jubv3gAqQy2Z6s8R5ZGJCTc/edit#gid=1271166664"",""Total Report!AL17"")"),14)</f>
        <v>14</v>
      </c>
      <c r="AK15" s="367">
        <f ca="1">IFERROR(__xludf.DUMMYFUNCTION("IMPORTRANGE(""https://docs.google.com/spreadsheets/d/1u_5HmT3-RnSjbo8rH_K-Jubv3gAqQy2Z6s8R5ZGJCTc/edit#gid=1271166664"",""Total Report!AM17"")"),38)</f>
        <v>38</v>
      </c>
      <c r="AL15" s="361">
        <f ca="1">IFERROR(__xludf.DUMMYFUNCTION("IMPORTRANGE(""https://docs.google.com/spreadsheets/d/1u_5HmT3-RnSjbo8rH_K-Jubv3gAqQy2Z6s8R5ZGJCTc/edit#gid=1271166664"",""Total Report!AN17"")"),5)</f>
        <v>5</v>
      </c>
      <c r="AM15" s="362">
        <f ca="1">IFERROR(__xludf.DUMMYFUNCTION("IMPORTRANGE(""https://docs.google.com/spreadsheets/d/1u_5HmT3-RnSjbo8rH_K-Jubv3gAqQy2Z6s8R5ZGJCTc/edit#gid=1271166664"",""Total Report!AO17"")"),3)</f>
        <v>3</v>
      </c>
      <c r="AN15" s="366">
        <f ca="1">IFERROR(__xludf.DUMMYFUNCTION("IMPORTRANGE(""https://docs.google.com/spreadsheets/d/1u_5HmT3-RnSjbo8rH_K-Jubv3gAqQy2Z6s8R5ZGJCTc/edit#gid=1271166664"",""Total Report!AP17"")"),25)</f>
        <v>25</v>
      </c>
      <c r="AO15" s="364">
        <f ca="1">IFERROR(__xludf.DUMMYFUNCTION("IMPORTRANGE(""https://docs.google.com/spreadsheets/d/1u_5HmT3-RnSjbo8rH_K-Jubv3gAqQy2Z6s8R5ZGJCTc/edit#gid=1271166664"",""Total Report!AQ17"")"),3)</f>
        <v>3</v>
      </c>
      <c r="AP15" s="362">
        <f ca="1">IFERROR(__xludf.DUMMYFUNCTION("IMPORTRANGE(""https://docs.google.com/spreadsheets/d/1u_5HmT3-RnSjbo8rH_K-Jubv3gAqQy2Z6s8R5ZGJCTc/edit#gid=1271166664"",""Total Report!AR17"")"),3)</f>
        <v>3</v>
      </c>
      <c r="AQ15" s="367">
        <f ca="1">IFERROR(__xludf.DUMMYFUNCTION("IMPORTRANGE(""https://docs.google.com/spreadsheets/d/1u_5HmT3-RnSjbo8rH_K-Jubv3gAqQy2Z6s8R5ZGJCTc/edit#gid=1271166664"",""Total Report!AS17"")"),10)</f>
        <v>10</v>
      </c>
      <c r="AR15" s="361">
        <f ca="1">IFERROR(__xludf.DUMMYFUNCTION("IMPORTRANGE(""https://docs.google.com/spreadsheets/d/1u_5HmT3-RnSjbo8rH_K-Jubv3gAqQy2Z6s8R5ZGJCTc/edit#gid=1271166664"",""Total Report!AT17"")"),0)</f>
        <v>0</v>
      </c>
      <c r="AS15" s="362">
        <f ca="1">IFERROR(__xludf.DUMMYFUNCTION("IMPORTRANGE(""https://docs.google.com/spreadsheets/d/1u_5HmT3-RnSjbo8rH_K-Jubv3gAqQy2Z6s8R5ZGJCTc/edit#gid=1271166664"",""Total Report!AU17"")"),0)</f>
        <v>0</v>
      </c>
      <c r="AT15" s="366">
        <f ca="1">IFERROR(__xludf.DUMMYFUNCTION("IMPORTRANGE(""https://docs.google.com/spreadsheets/d/1u_5HmT3-RnSjbo8rH_K-Jubv3gAqQy2Z6s8R5ZGJCTc/edit#gid=1271166664"",""Total Report!AV17"")"),0)</f>
        <v>0</v>
      </c>
      <c r="AU15" s="364">
        <f ca="1">IFERROR(__xludf.DUMMYFUNCTION("IMPORTRANGE(""https://docs.google.com/spreadsheets/d/1u_5HmT3-RnSjbo8rH_K-Jubv3gAqQy2Z6s8R5ZGJCTc/edit#gid=1271166664"",""Total Report!AW17"")"),0)</f>
        <v>0</v>
      </c>
      <c r="AV15" s="362">
        <f ca="1">IFERROR(__xludf.DUMMYFUNCTION("IMPORTRANGE(""https://docs.google.com/spreadsheets/d/1u_5HmT3-RnSjbo8rH_K-Jubv3gAqQy2Z6s8R5ZGJCTc/edit#gid=1271166664"",""Total Report!AX17"")"),0)</f>
        <v>0</v>
      </c>
      <c r="AW15" s="366">
        <f ca="1">IFERROR(__xludf.DUMMYFUNCTION("IMPORTRANGE(""https://docs.google.com/spreadsheets/d/1u_5HmT3-RnSjbo8rH_K-Jubv3gAqQy2Z6s8R5ZGJCTc/edit#gid=1271166664"",""Total Report!AY17"")"),0)</f>
        <v>0</v>
      </c>
      <c r="AX15" s="375">
        <v>112</v>
      </c>
      <c r="AY15" s="375">
        <f t="shared" ref="AX15:AY18" ca="1" si="1">SUM(C15,F15,I15,L15,O15,R15,U15,X15,AA15,AD15,AG15,AJ15,AM15,AP15,AS15,AV15)</f>
        <v>117</v>
      </c>
      <c r="AZ15" s="347"/>
      <c r="BA15" s="347"/>
      <c r="BB15" s="347"/>
      <c r="BC15" s="347"/>
      <c r="BD15" s="347"/>
      <c r="BE15" s="347"/>
      <c r="BF15" s="347"/>
      <c r="BG15" s="347"/>
      <c r="BH15" s="347"/>
      <c r="BI15" s="347"/>
      <c r="BJ15" s="347"/>
      <c r="BK15" s="347"/>
      <c r="BL15" s="347"/>
      <c r="BM15" s="347"/>
      <c r="BN15" s="347"/>
      <c r="BO15" s="347"/>
      <c r="BP15" s="347"/>
      <c r="BQ15" s="347"/>
      <c r="BR15" s="347"/>
      <c r="BS15" s="347"/>
      <c r="BT15" s="347"/>
      <c r="BU15" s="347"/>
      <c r="BV15" s="347"/>
      <c r="BW15" s="347"/>
      <c r="BX15" s="347"/>
      <c r="BY15" s="347"/>
      <c r="BZ15" s="347"/>
      <c r="CA15" s="347"/>
      <c r="CB15" s="347"/>
    </row>
    <row r="16" spans="1:80" s="348" customFormat="1" ht="27.75">
      <c r="A16" s="360" t="s">
        <v>68</v>
      </c>
      <c r="B16" s="361">
        <f ca="1">IFERROR(__xludf.DUMMYFUNCTION("IMPORTRANGE(""https://docs.google.com/spreadsheets/d/1u_5HmT3-RnSjbo8rH_K-Jubv3gAqQy2Z6s8R5ZGJCTc/edit#gid=1271166664"",""Total Report!D23"")"),6)</f>
        <v>6</v>
      </c>
      <c r="C16" s="362">
        <f ca="1">IFERROR(__xludf.DUMMYFUNCTION("IMPORTRANGE(""https://docs.google.com/spreadsheets/d/1u_5HmT3-RnSjbo8rH_K-Jubv3gAqQy2Z6s8R5ZGJCTc/edit#gid=1271166664"",""Total Report!E23"")"),6)</f>
        <v>6</v>
      </c>
      <c r="D16" s="366">
        <f ca="1">IFERROR(__xludf.DUMMYFUNCTION("IMPORTRANGE(""https://docs.google.com/spreadsheets/d/1u_5HmT3-RnSjbo8rH_K-Jubv3gAqQy2Z6s8R5ZGJCTc/edit#gid=1271166664"",""Total Report!F23"")"),18)</f>
        <v>18</v>
      </c>
      <c r="E16" s="364">
        <f ca="1">IFERROR(__xludf.DUMMYFUNCTION("IMPORTRANGE(""https://docs.google.com/spreadsheets/d/1u_5HmT3-RnSjbo8rH_K-Jubv3gAqQy2Z6s8R5ZGJCTc/edit#gid=1271166664"",""Total Report!G23"")"),22)</f>
        <v>22</v>
      </c>
      <c r="F16" s="362">
        <f ca="1">IFERROR(__xludf.DUMMYFUNCTION("IMPORTRANGE(""https://docs.google.com/spreadsheets/d/1u_5HmT3-RnSjbo8rH_K-Jubv3gAqQy2Z6s8R5ZGJCTc/edit#gid=1271166664"",""Total Report!H23"")"),14)</f>
        <v>14</v>
      </c>
      <c r="G16" s="367">
        <f ca="1">IFERROR(__xludf.DUMMYFUNCTION("IMPORTRANGE(""https://docs.google.com/spreadsheets/d/1u_5HmT3-RnSjbo8rH_K-Jubv3gAqQy2Z6s8R5ZGJCTc/edit#gid=1271166664"",""Total Report!I23"")"),66)</f>
        <v>66</v>
      </c>
      <c r="H16" s="361">
        <f ca="1">IFERROR(__xludf.DUMMYFUNCTION("IMPORTRANGE(""https://docs.google.com/spreadsheets/d/1u_5HmT3-RnSjbo8rH_K-Jubv3gAqQy2Z6s8R5ZGJCTc/edit#gid=1271166664"",""Total Report!J23"")"),7)</f>
        <v>7</v>
      </c>
      <c r="I16" s="362">
        <f ca="1">IFERROR(__xludf.DUMMYFUNCTION("IMPORTRANGE(""https://docs.google.com/spreadsheets/d/1u_5HmT3-RnSjbo8rH_K-Jubv3gAqQy2Z6s8R5ZGJCTc/edit#gid=1271166664"",""Total Report!K23"")"),7)</f>
        <v>7</v>
      </c>
      <c r="J16" s="366">
        <f ca="1">IFERROR(__xludf.DUMMYFUNCTION("IMPORTRANGE(""https://docs.google.com/spreadsheets/d/1u_5HmT3-RnSjbo8rH_K-Jubv3gAqQy2Z6s8R5ZGJCTc/edit#gid=1271166664"",""Total Report!L23"")"),23)</f>
        <v>23</v>
      </c>
      <c r="K16" s="364">
        <f ca="1">IFERROR(__xludf.DUMMYFUNCTION("IMPORTRANGE(""https://docs.google.com/spreadsheets/d/1u_5HmT3-RnSjbo8rH_K-Jubv3gAqQy2Z6s8R5ZGJCTc/edit#gid=1271166664"",""Total Report!M23"")"),8)</f>
        <v>8</v>
      </c>
      <c r="L16" s="362">
        <f ca="1">IFERROR(__xludf.DUMMYFUNCTION("IMPORTRANGE(""https://docs.google.com/spreadsheets/d/1u_5HmT3-RnSjbo8rH_K-Jubv3gAqQy2Z6s8R5ZGJCTc/edit#gid=1271166664"",""Total Report!N23"")"),8)</f>
        <v>8</v>
      </c>
      <c r="M16" s="367">
        <f ca="1">IFERROR(__xludf.DUMMYFUNCTION("IMPORTRANGE(""https://docs.google.com/spreadsheets/d/1u_5HmT3-RnSjbo8rH_K-Jubv3gAqQy2Z6s8R5ZGJCTc/edit#gid=1271166664"",""Total Report!O23"")"),24)</f>
        <v>24</v>
      </c>
      <c r="N16" s="361">
        <f ca="1">IFERROR(__xludf.DUMMYFUNCTION("IMPORTRANGE(""https://docs.google.com/spreadsheets/d/1u_5HmT3-RnSjbo8rH_K-Jubv3gAqQy2Z6s8R5ZGJCTc/edit#gid=1271166664"",""Total Report!P23"")"),24)</f>
        <v>24</v>
      </c>
      <c r="O16" s="362">
        <f ca="1">IFERROR(__xludf.DUMMYFUNCTION("IMPORTRANGE(""https://docs.google.com/spreadsheets/d/1u_5HmT3-RnSjbo8rH_K-Jubv3gAqQy2Z6s8R5ZGJCTc/edit#gid=1271166664"",""Total Report!Q23"")"),24)</f>
        <v>24</v>
      </c>
      <c r="P16" s="366">
        <f ca="1">IFERROR(__xludf.DUMMYFUNCTION("IMPORTRANGE(""https://docs.google.com/spreadsheets/d/1u_5HmT3-RnSjbo8rH_K-Jubv3gAqQy2Z6s8R5ZGJCTc/edit#gid=1271166664"",""Total Report!R23"")"),72)</f>
        <v>72</v>
      </c>
      <c r="Q16" s="364">
        <f ca="1">IFERROR(__xludf.DUMMYFUNCTION("IMPORTRANGE(""https://docs.google.com/spreadsheets/d/1u_5HmT3-RnSjbo8rH_K-Jubv3gAqQy2Z6s8R5ZGJCTc/edit#gid=1271166664"",""Total Report!S23"")"),16)</f>
        <v>16</v>
      </c>
      <c r="R16" s="362">
        <f ca="1">IFERROR(__xludf.DUMMYFUNCTION("IMPORTRANGE(""https://docs.google.com/spreadsheets/d/1u_5HmT3-RnSjbo8rH_K-Jubv3gAqQy2Z6s8R5ZGJCTc/edit#gid=1271166664"",""Total Report!T23"")"),16)</f>
        <v>16</v>
      </c>
      <c r="S16" s="367">
        <f ca="1">IFERROR(__xludf.DUMMYFUNCTION("IMPORTRANGE(""https://docs.google.com/spreadsheets/d/1u_5HmT3-RnSjbo8rH_K-Jubv3gAqQy2Z6s8R5ZGJCTc/edit#gid=1271166664"",""Total Report!U23"")"),48)</f>
        <v>48</v>
      </c>
      <c r="T16" s="361">
        <f ca="1">IFERROR(__xludf.DUMMYFUNCTION("IMPORTRANGE(""https://docs.google.com/spreadsheets/d/1u_5HmT3-RnSjbo8rH_K-Jubv3gAqQy2Z6s8R5ZGJCTc/edit#gid=1271166664"",""Total Report!V23"")"),6)</f>
        <v>6</v>
      </c>
      <c r="U16" s="362">
        <f ca="1">IFERROR(__xludf.DUMMYFUNCTION("IMPORTRANGE(""https://docs.google.com/spreadsheets/d/1u_5HmT3-RnSjbo8rH_K-Jubv3gAqQy2Z6s8R5ZGJCTc/edit#gid=1271166664"",""Total Report!W23"")"),6)</f>
        <v>6</v>
      </c>
      <c r="V16" s="366">
        <f ca="1">IFERROR(__xludf.DUMMYFUNCTION("IMPORTRANGE(""https://docs.google.com/spreadsheets/d/1u_5HmT3-RnSjbo8rH_K-Jubv3gAqQy2Z6s8R5ZGJCTc/edit#gid=1271166664"",""Total Report!X23"")"),20)</f>
        <v>20</v>
      </c>
      <c r="W16" s="364">
        <f ca="1">IFERROR(__xludf.DUMMYFUNCTION("IMPORTRANGE(""https://docs.google.com/spreadsheets/d/1u_5HmT3-RnSjbo8rH_K-Jubv3gAqQy2Z6s8R5ZGJCTc/edit#gid=1271166664"",""Total Report!Y23"")"),15)</f>
        <v>15</v>
      </c>
      <c r="X16" s="362">
        <f ca="1">IFERROR(__xludf.DUMMYFUNCTION("IMPORTRANGE(""https://docs.google.com/spreadsheets/d/1u_5HmT3-RnSjbo8rH_K-Jubv3gAqQy2Z6s8R5ZGJCTc/edit#gid=1271166664"",""Total Report!Z23"")"),15)</f>
        <v>15</v>
      </c>
      <c r="Y16" s="367">
        <f ca="1">IFERROR(__xludf.DUMMYFUNCTION("IMPORTRANGE(""https://docs.google.com/spreadsheets/d/1u_5HmT3-RnSjbo8rH_K-Jubv3gAqQy2Z6s8R5ZGJCTc/edit#gid=1271166664"",""Total Report!AA23"")"),47)</f>
        <v>47</v>
      </c>
      <c r="Z16" s="361">
        <f ca="1">IFERROR(__xludf.DUMMYFUNCTION("IMPORTRANGE(""https://docs.google.com/spreadsheets/d/1u_5HmT3-RnSjbo8rH_K-Jubv3gAqQy2Z6s8R5ZGJCTc/edit#gid=1271166664"",""Total Report!AB23"")"),12)</f>
        <v>12</v>
      </c>
      <c r="AA16" s="362">
        <f ca="1">IFERROR(__xludf.DUMMYFUNCTION("IMPORTRANGE(""https://docs.google.com/spreadsheets/d/1u_5HmT3-RnSjbo8rH_K-Jubv3gAqQy2Z6s8R5ZGJCTc/edit#gid=1271166664"",""Total Report!AC23"")"),12)</f>
        <v>12</v>
      </c>
      <c r="AB16" s="366">
        <f ca="1">IFERROR(__xludf.DUMMYFUNCTION("IMPORTRANGE(""https://docs.google.com/spreadsheets/d/1u_5HmT3-RnSjbo8rH_K-Jubv3gAqQy2Z6s8R5ZGJCTc/edit#gid=1271166664"",""Total Report!AD23"")"),38)</f>
        <v>38</v>
      </c>
      <c r="AC16" s="364">
        <f ca="1">IFERROR(__xludf.DUMMYFUNCTION("IMPORTRANGE(""https://docs.google.com/spreadsheets/d/1u_5HmT3-RnSjbo8rH_K-Jubv3gAqQy2Z6s8R5ZGJCTc/edit#gid=1271166664"",""Total Report!AE23"")"),0)</f>
        <v>0</v>
      </c>
      <c r="AD16" s="362">
        <f ca="1">IFERROR(__xludf.DUMMYFUNCTION("IMPORTRANGE(""https://docs.google.com/spreadsheets/d/1u_5HmT3-RnSjbo8rH_K-Jubv3gAqQy2Z6s8R5ZGJCTc/edit#gid=1271166664"",""Total Report!AF23"")"),0)</f>
        <v>0</v>
      </c>
      <c r="AE16" s="367">
        <f ca="1">IFERROR(__xludf.DUMMYFUNCTION("IMPORTRANGE(""https://docs.google.com/spreadsheets/d/1u_5HmT3-RnSjbo8rH_K-Jubv3gAqQy2Z6s8R5ZGJCTc/edit#gid=1271166664"",""Total Report!AG23"")"),0)</f>
        <v>0</v>
      </c>
      <c r="AF16" s="361">
        <f ca="1">IFERROR(__xludf.DUMMYFUNCTION("IMPORTRANGE(""https://docs.google.com/spreadsheets/d/1u_5HmT3-RnSjbo8rH_K-Jubv3gAqQy2Z6s8R5ZGJCTc/edit#gid=1271166664"",""Total Report!AH23"")"),14)</f>
        <v>14</v>
      </c>
      <c r="AG16" s="362">
        <f ca="1">IFERROR(__xludf.DUMMYFUNCTION("IMPORTRANGE(""https://docs.google.com/spreadsheets/d/1u_5HmT3-RnSjbo8rH_K-Jubv3gAqQy2Z6s8R5ZGJCTc/edit#gid=1271166664"",""Total Report!AI23"")"),13)</f>
        <v>13</v>
      </c>
      <c r="AH16" s="366">
        <f ca="1">IFERROR(__xludf.DUMMYFUNCTION("IMPORTRANGE(""https://docs.google.com/spreadsheets/d/1u_5HmT3-RnSjbo8rH_K-Jubv3gAqQy2Z6s8R5ZGJCTc/edit#gid=1271166664"",""Total Report!AJ23"")"),54)</f>
        <v>54</v>
      </c>
      <c r="AI16" s="364">
        <f ca="1">IFERROR(__xludf.DUMMYFUNCTION("IMPORTRANGE(""https://docs.google.com/spreadsheets/d/1u_5HmT3-RnSjbo8rH_K-Jubv3gAqQy2Z6s8R5ZGJCTc/edit#gid=1271166664"",""Total Report!AK23"")"),33)</f>
        <v>33</v>
      </c>
      <c r="AJ16" s="362">
        <f ca="1">IFERROR(__xludf.DUMMYFUNCTION("IMPORTRANGE(""https://docs.google.com/spreadsheets/d/1u_5HmT3-RnSjbo8rH_K-Jubv3gAqQy2Z6s8R5ZGJCTc/edit#gid=1271166664"",""Total Report!AL23"")"),33)</f>
        <v>33</v>
      </c>
      <c r="AK16" s="367">
        <f ca="1">IFERROR(__xludf.DUMMYFUNCTION("IMPORTRANGE(""https://docs.google.com/spreadsheets/d/1u_5HmT3-RnSjbo8rH_K-Jubv3gAqQy2Z6s8R5ZGJCTc/edit#gid=1271166664"",""Total Report!AM23"")"),99)</f>
        <v>99</v>
      </c>
      <c r="AL16" s="361">
        <f ca="1">IFERROR(__xludf.DUMMYFUNCTION("IMPORTRANGE(""https://docs.google.com/spreadsheets/d/1u_5HmT3-RnSjbo8rH_K-Jubv3gAqQy2Z6s8R5ZGJCTc/edit#gid=1271166664"",""Total Report!AN23"")"),0)</f>
        <v>0</v>
      </c>
      <c r="AM16" s="362">
        <f ca="1">IFERROR(__xludf.DUMMYFUNCTION("IMPORTRANGE(""https://docs.google.com/spreadsheets/d/1u_5HmT3-RnSjbo8rH_K-Jubv3gAqQy2Z6s8R5ZGJCTc/edit#gid=1271166664"",""Total Report!AO23"")"),0)</f>
        <v>0</v>
      </c>
      <c r="AN16" s="366">
        <f ca="1">IFERROR(__xludf.DUMMYFUNCTION("IMPORTRANGE(""https://docs.google.com/spreadsheets/d/1u_5HmT3-RnSjbo8rH_K-Jubv3gAqQy2Z6s8R5ZGJCTc/edit#gid=1271166664"",""Total Report!AP23"")"),0)</f>
        <v>0</v>
      </c>
      <c r="AO16" s="364">
        <f ca="1">IFERROR(__xludf.DUMMYFUNCTION("IMPORTRANGE(""https://docs.google.com/spreadsheets/d/1u_5HmT3-RnSjbo8rH_K-Jubv3gAqQy2Z6s8R5ZGJCTc/edit#gid=1271166664"",""Total Report!AQ23"")"),0)</f>
        <v>0</v>
      </c>
      <c r="AP16" s="362">
        <f ca="1">IFERROR(__xludf.DUMMYFUNCTION("IMPORTRANGE(""https://docs.google.com/spreadsheets/d/1u_5HmT3-RnSjbo8rH_K-Jubv3gAqQy2Z6s8R5ZGJCTc/edit#gid=1271166664"",""Total Report!AR23"")"),0)</f>
        <v>0</v>
      </c>
      <c r="AQ16" s="367">
        <f ca="1">IFERROR(__xludf.DUMMYFUNCTION("IMPORTRANGE(""https://docs.google.com/spreadsheets/d/1u_5HmT3-RnSjbo8rH_K-Jubv3gAqQy2Z6s8R5ZGJCTc/edit#gid=1271166664"",""Total Report!AS23"")"),0)</f>
        <v>0</v>
      </c>
      <c r="AR16" s="361">
        <f ca="1">IFERROR(__xludf.DUMMYFUNCTION("IMPORTRANGE(""https://docs.google.com/spreadsheets/d/1u_5HmT3-RnSjbo8rH_K-Jubv3gAqQy2Z6s8R5ZGJCTc/edit#gid=1271166664"",""Total Report!AT23"")"),0)</f>
        <v>0</v>
      </c>
      <c r="AS16" s="362">
        <f ca="1">IFERROR(__xludf.DUMMYFUNCTION("IMPORTRANGE(""https://docs.google.com/spreadsheets/d/1u_5HmT3-RnSjbo8rH_K-Jubv3gAqQy2Z6s8R5ZGJCTc/edit#gid=1271166664"",""Total Report!AU23"")"),0)</f>
        <v>0</v>
      </c>
      <c r="AT16" s="366">
        <f ca="1">IFERROR(__xludf.DUMMYFUNCTION("IMPORTRANGE(""https://docs.google.com/spreadsheets/d/1u_5HmT3-RnSjbo8rH_K-Jubv3gAqQy2Z6s8R5ZGJCTc/edit#gid=1271166664"",""Total Report!AV23"")"),0)</f>
        <v>0</v>
      </c>
      <c r="AU16" s="364">
        <f ca="1">IFERROR(__xludf.DUMMYFUNCTION("IMPORTRANGE(""https://docs.google.com/spreadsheets/d/1u_5HmT3-RnSjbo8rH_K-Jubv3gAqQy2Z6s8R5ZGJCTc/edit#gid=1271166664"",""Total Report!AW23"")"),0)</f>
        <v>0</v>
      </c>
      <c r="AV16" s="362">
        <f ca="1">IFERROR(__xludf.DUMMYFUNCTION("IMPORTRANGE(""https://docs.google.com/spreadsheets/d/1u_5HmT3-RnSjbo8rH_K-Jubv3gAqQy2Z6s8R5ZGJCTc/edit#gid=1271166664"",""Total Report!AX23"")"),0)</f>
        <v>0</v>
      </c>
      <c r="AW16" s="366">
        <f ca="1">IFERROR(__xludf.DUMMYFUNCTION("IMPORTRANGE(""https://docs.google.com/spreadsheets/d/1u_5HmT3-RnSjbo8rH_K-Jubv3gAqQy2Z6s8R5ZGJCTc/edit#gid=1271166664"",""Total Report!AY23"")"),0)</f>
        <v>0</v>
      </c>
      <c r="AX16" s="375">
        <f t="shared" ca="1" si="1"/>
        <v>163</v>
      </c>
      <c r="AY16" s="375">
        <f t="shared" ca="1" si="1"/>
        <v>154</v>
      </c>
      <c r="AZ16" s="347"/>
      <c r="BA16" s="347"/>
      <c r="BB16" s="347"/>
      <c r="BC16" s="347"/>
      <c r="BD16" s="347"/>
      <c r="BE16" s="347"/>
      <c r="BF16" s="347"/>
      <c r="BG16" s="347"/>
      <c r="BH16" s="347"/>
      <c r="BI16" s="347"/>
      <c r="BJ16" s="347"/>
      <c r="BK16" s="347"/>
      <c r="BL16" s="347"/>
      <c r="BM16" s="347"/>
      <c r="BN16" s="347"/>
      <c r="BO16" s="347"/>
      <c r="BP16" s="347"/>
      <c r="BQ16" s="347"/>
      <c r="BR16" s="347"/>
      <c r="BS16" s="347"/>
      <c r="BT16" s="347"/>
      <c r="BU16" s="347"/>
      <c r="BV16" s="347"/>
      <c r="BW16" s="347"/>
      <c r="BX16" s="347"/>
      <c r="BY16" s="347"/>
      <c r="BZ16" s="347"/>
      <c r="CA16" s="347"/>
      <c r="CB16" s="347"/>
    </row>
    <row r="17" spans="1:80" s="348" customFormat="1" ht="27.75">
      <c r="A17" s="360" t="s">
        <v>69</v>
      </c>
      <c r="B17" s="361">
        <f ca="1">IFERROR(__xludf.DUMMYFUNCTION("IMPORTRANGE(""https://docs.google.com/spreadsheets/d/1u_5HmT3-RnSjbo8rH_K-Jubv3gAqQy2Z6s8R5ZGJCTc/edit#gid=1271166664"",""Total Report!D30"")"),0)</f>
        <v>0</v>
      </c>
      <c r="C17" s="362">
        <f ca="1">IFERROR(__xludf.DUMMYFUNCTION("IMPORTRANGE(""https://docs.google.com/spreadsheets/d/1u_5HmT3-RnSjbo8rH_K-Jubv3gAqQy2Z6s8R5ZGJCTc/edit#gid=1271166664"",""Total Report!E30"")"),0)</f>
        <v>0</v>
      </c>
      <c r="D17" s="366">
        <f ca="1">IFERROR(__xludf.DUMMYFUNCTION("IMPORTRANGE(""https://docs.google.com/spreadsheets/d/1u_5HmT3-RnSjbo8rH_K-Jubv3gAqQy2Z6s8R5ZGJCTc/edit#gid=1271166664"",""Total Report!F30"")"),0)</f>
        <v>0</v>
      </c>
      <c r="E17" s="364">
        <f ca="1">IFERROR(__xludf.DUMMYFUNCTION("IMPORTRANGE(""https://docs.google.com/spreadsheets/d/1u_5HmT3-RnSjbo8rH_K-Jubv3gAqQy2Z6s8R5ZGJCTc/edit#gid=1271166664"",""Total Report!G30"")"),6)</f>
        <v>6</v>
      </c>
      <c r="F17" s="362">
        <f ca="1">IFERROR(__xludf.DUMMYFUNCTION("IMPORTRANGE(""https://docs.google.com/spreadsheets/d/1u_5HmT3-RnSjbo8rH_K-Jubv3gAqQy2Z6s8R5ZGJCTc/edit#gid=1271166664"",""Total Report!H30"")"),6)</f>
        <v>6</v>
      </c>
      <c r="G17" s="367">
        <f ca="1">IFERROR(__xludf.DUMMYFUNCTION("IMPORTRANGE(""https://docs.google.com/spreadsheets/d/1u_5HmT3-RnSjbo8rH_K-Jubv3gAqQy2Z6s8R5ZGJCTc/edit#gid=1271166664"",""Total Report!I30"")"),14)</f>
        <v>14</v>
      </c>
      <c r="H17" s="361">
        <f ca="1">IFERROR(__xludf.DUMMYFUNCTION("IMPORTRANGE(""https://docs.google.com/spreadsheets/d/1u_5HmT3-RnSjbo8rH_K-Jubv3gAqQy2Z6s8R5ZGJCTc/edit#gid=1271166664"",""Total Report!J30"")"),0)</f>
        <v>0</v>
      </c>
      <c r="I17" s="362">
        <f ca="1">IFERROR(__xludf.DUMMYFUNCTION("IMPORTRANGE(""https://docs.google.com/spreadsheets/d/1u_5HmT3-RnSjbo8rH_K-Jubv3gAqQy2Z6s8R5ZGJCTc/edit#gid=1271166664"",""Total Report!K30"")"),0)</f>
        <v>0</v>
      </c>
      <c r="J17" s="366">
        <f ca="1">IFERROR(__xludf.DUMMYFUNCTION("IMPORTRANGE(""https://docs.google.com/spreadsheets/d/1u_5HmT3-RnSjbo8rH_K-Jubv3gAqQy2Z6s8R5ZGJCTc/edit#gid=1271166664"",""Total Report!L30"")"),0)</f>
        <v>0</v>
      </c>
      <c r="K17" s="364">
        <f ca="1">IFERROR(__xludf.DUMMYFUNCTION("IMPORTRANGE(""https://docs.google.com/spreadsheets/d/1u_5HmT3-RnSjbo8rH_K-Jubv3gAqQy2Z6s8R5ZGJCTc/edit#gid=1271166664"",""Total Report!M30"")"),0)</f>
        <v>0</v>
      </c>
      <c r="L17" s="362">
        <f ca="1">IFERROR(__xludf.DUMMYFUNCTION("IMPORTRANGE(""https://docs.google.com/spreadsheets/d/1u_5HmT3-RnSjbo8rH_K-Jubv3gAqQy2Z6s8R5ZGJCTc/edit#gid=1271166664"",""Total Report!N30"")"),0)</f>
        <v>0</v>
      </c>
      <c r="M17" s="367">
        <f ca="1">IFERROR(__xludf.DUMMYFUNCTION("IMPORTRANGE(""https://docs.google.com/spreadsheets/d/1u_5HmT3-RnSjbo8rH_K-Jubv3gAqQy2Z6s8R5ZGJCTc/edit#gid=1271166664"",""Total Report!O30"")"),0)</f>
        <v>0</v>
      </c>
      <c r="N17" s="361">
        <f ca="1">IFERROR(__xludf.DUMMYFUNCTION("IMPORTRANGE(""https://docs.google.com/spreadsheets/d/1u_5HmT3-RnSjbo8rH_K-Jubv3gAqQy2Z6s8R5ZGJCTc/edit#gid=1271166664"",""Total Report!P30"")"),2)</f>
        <v>2</v>
      </c>
      <c r="O17" s="362">
        <f ca="1">IFERROR(__xludf.DUMMYFUNCTION("IMPORTRANGE(""https://docs.google.com/spreadsheets/d/1u_5HmT3-RnSjbo8rH_K-Jubv3gAqQy2Z6s8R5ZGJCTc/edit#gid=1271166664"",""Total Report!Q30"")"),1)</f>
        <v>1</v>
      </c>
      <c r="P17" s="366">
        <f ca="1">IFERROR(__xludf.DUMMYFUNCTION("IMPORTRANGE(""https://docs.google.com/spreadsheets/d/1u_5HmT3-RnSjbo8rH_K-Jubv3gAqQy2Z6s8R5ZGJCTc/edit#gid=1271166664"",""Total Report!R30"")"),4)</f>
        <v>4</v>
      </c>
      <c r="Q17" s="364">
        <f ca="1">IFERROR(__xludf.DUMMYFUNCTION("IMPORTRANGE(""https://docs.google.com/spreadsheets/d/1u_5HmT3-RnSjbo8rH_K-Jubv3gAqQy2Z6s8R5ZGJCTc/edit#gid=1271166664"",""Total Report!S30"")"),1)</f>
        <v>1</v>
      </c>
      <c r="R17" s="362">
        <f ca="1">IFERROR(__xludf.DUMMYFUNCTION("IMPORTRANGE(""https://docs.google.com/spreadsheets/d/1u_5HmT3-RnSjbo8rH_K-Jubv3gAqQy2Z6s8R5ZGJCTc/edit#gid=1271166664"",""Total Report!T30"")"),1)</f>
        <v>1</v>
      </c>
      <c r="S17" s="367">
        <f ca="1">IFERROR(__xludf.DUMMYFUNCTION("IMPORTRANGE(""https://docs.google.com/spreadsheets/d/1u_5HmT3-RnSjbo8rH_K-Jubv3gAqQy2Z6s8R5ZGJCTc/edit#gid=1271166664"",""Total Report!U30"")"),2)</f>
        <v>2</v>
      </c>
      <c r="T17" s="361">
        <f ca="1">IFERROR(__xludf.DUMMYFUNCTION("IMPORTRANGE(""https://docs.google.com/spreadsheets/d/1u_5HmT3-RnSjbo8rH_K-Jubv3gAqQy2Z6s8R5ZGJCTc/edit#gid=1271166664"",""Total Report!V30"")"),0)</f>
        <v>0</v>
      </c>
      <c r="U17" s="362">
        <f ca="1">IFERROR(__xludf.DUMMYFUNCTION("IMPORTRANGE(""https://docs.google.com/spreadsheets/d/1u_5HmT3-RnSjbo8rH_K-Jubv3gAqQy2Z6s8R5ZGJCTc/edit#gid=1271166664"",""Total Report!W30"")"),0)</f>
        <v>0</v>
      </c>
      <c r="V17" s="366">
        <f ca="1">IFERROR(__xludf.DUMMYFUNCTION("IMPORTRANGE(""https://docs.google.com/spreadsheets/d/1u_5HmT3-RnSjbo8rH_K-Jubv3gAqQy2Z6s8R5ZGJCTc/edit#gid=1271166664"",""Total Report!X30"")"),0)</f>
        <v>0</v>
      </c>
      <c r="W17" s="364">
        <f ca="1">IFERROR(__xludf.DUMMYFUNCTION("IMPORTRANGE(""https://docs.google.com/spreadsheets/d/1u_5HmT3-RnSjbo8rH_K-Jubv3gAqQy2Z6s8R5ZGJCTc/edit#gid=1271166664"",""Total Report!Y30"")"),0)</f>
        <v>0</v>
      </c>
      <c r="X17" s="362">
        <f ca="1">IFERROR(__xludf.DUMMYFUNCTION("IMPORTRANGE(""https://docs.google.com/spreadsheets/d/1u_5HmT3-RnSjbo8rH_K-Jubv3gAqQy2Z6s8R5ZGJCTc/edit#gid=1271166664"",""Total Report!Z30"")"),0)</f>
        <v>0</v>
      </c>
      <c r="Y17" s="367">
        <f ca="1">IFERROR(__xludf.DUMMYFUNCTION("IMPORTRANGE(""https://docs.google.com/spreadsheets/d/1u_5HmT3-RnSjbo8rH_K-Jubv3gAqQy2Z6s8R5ZGJCTc/edit#gid=1271166664"",""Total Report!AA30"")"),0)</f>
        <v>0</v>
      </c>
      <c r="Z17" s="361">
        <f ca="1">IFERROR(__xludf.DUMMYFUNCTION("IMPORTRANGE(""https://docs.google.com/spreadsheets/d/1u_5HmT3-RnSjbo8rH_K-Jubv3gAqQy2Z6s8R5ZGJCTc/edit#gid=1271166664"",""Total Report!AB30"")"),1)</f>
        <v>1</v>
      </c>
      <c r="AA17" s="362">
        <f ca="1">IFERROR(__xludf.DUMMYFUNCTION("IMPORTRANGE(""https://docs.google.com/spreadsheets/d/1u_5HmT3-RnSjbo8rH_K-Jubv3gAqQy2Z6s8R5ZGJCTc/edit#gid=1271166664"",""Total Report!AC30"")"),1)</f>
        <v>1</v>
      </c>
      <c r="AB17" s="366">
        <f ca="1">IFERROR(__xludf.DUMMYFUNCTION("IMPORTRANGE(""https://docs.google.com/spreadsheets/d/1u_5HmT3-RnSjbo8rH_K-Jubv3gAqQy2Z6s8R5ZGJCTc/edit#gid=1271166664"",""Total Report!AD30"")"),3)</f>
        <v>3</v>
      </c>
      <c r="AC17" s="364">
        <f ca="1">IFERROR(__xludf.DUMMYFUNCTION("IMPORTRANGE(""https://docs.google.com/spreadsheets/d/1u_5HmT3-RnSjbo8rH_K-Jubv3gAqQy2Z6s8R5ZGJCTc/edit#gid=1271166664"",""Total Report!AE30"")"),0)</f>
        <v>0</v>
      </c>
      <c r="AD17" s="362">
        <f ca="1">IFERROR(__xludf.DUMMYFUNCTION("IMPORTRANGE(""https://docs.google.com/spreadsheets/d/1u_5HmT3-RnSjbo8rH_K-Jubv3gAqQy2Z6s8R5ZGJCTc/edit#gid=1271166664"",""Total Report!AF30"")"),0)</f>
        <v>0</v>
      </c>
      <c r="AE17" s="367">
        <f ca="1">IFERROR(__xludf.DUMMYFUNCTION("IMPORTRANGE(""https://docs.google.com/spreadsheets/d/1u_5HmT3-RnSjbo8rH_K-Jubv3gAqQy2Z6s8R5ZGJCTc/edit#gid=1271166664"",""Total Report!AG30"")"),0)</f>
        <v>0</v>
      </c>
      <c r="AF17" s="361">
        <f ca="1">IFERROR(__xludf.DUMMYFUNCTION("IMPORTRANGE(""https://docs.google.com/spreadsheets/d/1u_5HmT3-RnSjbo8rH_K-Jubv3gAqQy2Z6s8R5ZGJCTc/edit#gid=1271166664"",""Total Report!AH30"")"),4)</f>
        <v>4</v>
      </c>
      <c r="AG17" s="362">
        <f ca="1">IFERROR(__xludf.DUMMYFUNCTION("IMPORTRANGE(""https://docs.google.com/spreadsheets/d/1u_5HmT3-RnSjbo8rH_K-Jubv3gAqQy2Z6s8R5ZGJCTc/edit#gid=1271166664"",""Total Report!AI30"")"),4)</f>
        <v>4</v>
      </c>
      <c r="AH17" s="366">
        <f ca="1">IFERROR(__xludf.DUMMYFUNCTION("IMPORTRANGE(""https://docs.google.com/spreadsheets/d/1u_5HmT3-RnSjbo8rH_K-Jubv3gAqQy2Z6s8R5ZGJCTc/edit#gid=1271166664"",""Total Report!AJ30"")"),11)</f>
        <v>11</v>
      </c>
      <c r="AI17" s="364">
        <f ca="1">IFERROR(__xludf.DUMMYFUNCTION("IMPORTRANGE(""https://docs.google.com/spreadsheets/d/1u_5HmT3-RnSjbo8rH_K-Jubv3gAqQy2Z6s8R5ZGJCTc/edit#gid=1271166664"",""Total Report!AK30"")"),13)</f>
        <v>13</v>
      </c>
      <c r="AJ17" s="362">
        <f ca="1">IFERROR(__xludf.DUMMYFUNCTION("IMPORTRANGE(""https://docs.google.com/spreadsheets/d/1u_5HmT3-RnSjbo8rH_K-Jubv3gAqQy2Z6s8R5ZGJCTc/edit#gid=1271166664"",""Total Report!AL30"")"),13)</f>
        <v>13</v>
      </c>
      <c r="AK17" s="367">
        <f ca="1">IFERROR(__xludf.DUMMYFUNCTION("IMPORTRANGE(""https://docs.google.com/spreadsheets/d/1u_5HmT3-RnSjbo8rH_K-Jubv3gAqQy2Z6s8R5ZGJCTc/edit#gid=1271166664"",""Total Report!AM30"")"),29)</f>
        <v>29</v>
      </c>
      <c r="AL17" s="361">
        <f ca="1">IFERROR(__xludf.DUMMYFUNCTION("IMPORTRANGE(""https://docs.google.com/spreadsheets/d/1u_5HmT3-RnSjbo8rH_K-Jubv3gAqQy2Z6s8R5ZGJCTc/edit#gid=1271166664"",""Total Report!AN30"")"),0)</f>
        <v>0</v>
      </c>
      <c r="AM17" s="362">
        <f ca="1">IFERROR(__xludf.DUMMYFUNCTION("IMPORTRANGE(""https://docs.google.com/spreadsheets/d/1u_5HmT3-RnSjbo8rH_K-Jubv3gAqQy2Z6s8R5ZGJCTc/edit#gid=1271166664"",""Total Report!AO30"")"),0)</f>
        <v>0</v>
      </c>
      <c r="AN17" s="366">
        <f ca="1">IFERROR(__xludf.DUMMYFUNCTION("IMPORTRANGE(""https://docs.google.com/spreadsheets/d/1u_5HmT3-RnSjbo8rH_K-Jubv3gAqQy2Z6s8R5ZGJCTc/edit#gid=1271166664"",""Total Report!AP30"")"),0)</f>
        <v>0</v>
      </c>
      <c r="AO17" s="364">
        <f ca="1">IFERROR(__xludf.DUMMYFUNCTION("IMPORTRANGE(""https://docs.google.com/spreadsheets/d/1u_5HmT3-RnSjbo8rH_K-Jubv3gAqQy2Z6s8R5ZGJCTc/edit#gid=1271166664"",""Total Report!AQ30"")"),0)</f>
        <v>0</v>
      </c>
      <c r="AP17" s="362">
        <f ca="1">IFERROR(__xludf.DUMMYFUNCTION("IMPORTRANGE(""https://docs.google.com/spreadsheets/d/1u_5HmT3-RnSjbo8rH_K-Jubv3gAqQy2Z6s8R5ZGJCTc/edit#gid=1271166664"",""Total Report!AR30"")"),0)</f>
        <v>0</v>
      </c>
      <c r="AQ17" s="367">
        <f ca="1">IFERROR(__xludf.DUMMYFUNCTION("IMPORTRANGE(""https://docs.google.com/spreadsheets/d/1u_5HmT3-RnSjbo8rH_K-Jubv3gAqQy2Z6s8R5ZGJCTc/edit#gid=1271166664"",""Total Report!AS30"")"),0)</f>
        <v>0</v>
      </c>
      <c r="AR17" s="361">
        <f ca="1">IFERROR(__xludf.DUMMYFUNCTION("IMPORTRANGE(""https://docs.google.com/spreadsheets/d/1u_5HmT3-RnSjbo8rH_K-Jubv3gAqQy2Z6s8R5ZGJCTc/edit#gid=1271166664"",""Total Report!AT30"")"),1)</f>
        <v>1</v>
      </c>
      <c r="AS17" s="362">
        <f ca="1">IFERROR(__xludf.DUMMYFUNCTION("IMPORTRANGE(""https://docs.google.com/spreadsheets/d/1u_5HmT3-RnSjbo8rH_K-Jubv3gAqQy2Z6s8R5ZGJCTc/edit#gid=1271166664"",""Total Report!AU30"")"),1)</f>
        <v>1</v>
      </c>
      <c r="AT17" s="366">
        <f ca="1">IFERROR(__xludf.DUMMYFUNCTION("IMPORTRANGE(""https://docs.google.com/spreadsheets/d/1u_5HmT3-RnSjbo8rH_K-Jubv3gAqQy2Z6s8R5ZGJCTc/edit#gid=1271166664"",""Total Report!AV30"")"),2)</f>
        <v>2</v>
      </c>
      <c r="AU17" s="364">
        <f ca="1">IFERROR(__xludf.DUMMYFUNCTION("IMPORTRANGE(""https://docs.google.com/spreadsheets/d/1u_5HmT3-RnSjbo8rH_K-Jubv3gAqQy2Z6s8R5ZGJCTc/edit#gid=1271166664"",""Total Report!AW30"")"),0)</f>
        <v>0</v>
      </c>
      <c r="AV17" s="362">
        <f ca="1">IFERROR(__xludf.DUMMYFUNCTION("IMPORTRANGE(""https://docs.google.com/spreadsheets/d/1u_5HmT3-RnSjbo8rH_K-Jubv3gAqQy2Z6s8R5ZGJCTc/edit#gid=1271166664"",""Total Report!AX30"")"),0)</f>
        <v>0</v>
      </c>
      <c r="AW17" s="366">
        <f ca="1">IFERROR(__xludf.DUMMYFUNCTION("IMPORTRANGE(""https://docs.google.com/spreadsheets/d/1u_5HmT3-RnSjbo8rH_K-Jubv3gAqQy2Z6s8R5ZGJCTc/edit#gid=1271166664"",""Total Report!AY30"")"),0)</f>
        <v>0</v>
      </c>
      <c r="AX17" s="375">
        <f t="shared" ca="1" si="1"/>
        <v>28</v>
      </c>
      <c r="AY17" s="375">
        <f t="shared" ca="1" si="1"/>
        <v>27</v>
      </c>
      <c r="AZ17" s="347"/>
      <c r="BA17" s="347"/>
      <c r="BB17" s="347"/>
      <c r="BC17" s="347"/>
      <c r="BD17" s="347"/>
      <c r="BE17" s="347"/>
      <c r="BF17" s="347"/>
      <c r="BG17" s="347"/>
      <c r="BH17" s="347"/>
      <c r="BI17" s="347"/>
      <c r="BJ17" s="347"/>
      <c r="BK17" s="347"/>
      <c r="BL17" s="347"/>
      <c r="BM17" s="347"/>
      <c r="BN17" s="347"/>
      <c r="BO17" s="347"/>
      <c r="BP17" s="347"/>
      <c r="BQ17" s="347"/>
      <c r="BR17" s="347"/>
      <c r="BS17" s="347"/>
      <c r="BT17" s="347"/>
      <c r="BU17" s="347"/>
      <c r="BV17" s="347"/>
      <c r="BW17" s="347"/>
      <c r="BX17" s="347"/>
      <c r="BY17" s="347"/>
      <c r="BZ17" s="347"/>
      <c r="CA17" s="347"/>
      <c r="CB17" s="347"/>
    </row>
    <row r="18" spans="1:80" s="348" customFormat="1" ht="28.5" thickBot="1">
      <c r="A18" s="368" t="s">
        <v>131</v>
      </c>
      <c r="B18" s="369">
        <f ca="1">IFERROR(__xludf.DUMMYFUNCTION("IMPORTRANGE(""https://docs.google.com/spreadsheets/d/1u_5HmT3-RnSjbo8rH_K-Jubv3gAqQy2Z6s8R5ZGJCTc/edit#gid=1271166664"",""Total Report!D35"")"),1)</f>
        <v>1</v>
      </c>
      <c r="C18" s="370">
        <f ca="1">IFERROR(__xludf.DUMMYFUNCTION("IMPORTRANGE(""https://docs.google.com/spreadsheets/d/1u_5HmT3-RnSjbo8rH_K-Jubv3gAqQy2Z6s8R5ZGJCTc/edit#gid=1271166664"",""Total Report!E35"")"),1)</f>
        <v>1</v>
      </c>
      <c r="D18" s="371">
        <f ca="1">IFERROR(__xludf.DUMMYFUNCTION("IMPORTRANGE(""https://docs.google.com/spreadsheets/d/1u_5HmT3-RnSjbo8rH_K-Jubv3gAqQy2Z6s8R5ZGJCTc/edit#gid=1271166664"",""Total Report!F35"")"),2)</f>
        <v>2</v>
      </c>
      <c r="E18" s="372">
        <f ca="1">IFERROR(__xludf.DUMMYFUNCTION("IMPORTRANGE(""https://docs.google.com/spreadsheets/d/1u_5HmT3-RnSjbo8rH_K-Jubv3gAqQy2Z6s8R5ZGJCTc/edit#gid=1271166664"",""Total Report!G35"")"),12)</f>
        <v>12</v>
      </c>
      <c r="F18" s="370">
        <f ca="1">IFERROR(__xludf.DUMMYFUNCTION("IMPORTRANGE(""https://docs.google.com/spreadsheets/d/1u_5HmT3-RnSjbo8rH_K-Jubv3gAqQy2Z6s8R5ZGJCTc/edit#gid=1271166664"",""Total Report!H35"")"),19)</f>
        <v>19</v>
      </c>
      <c r="G18" s="373">
        <f ca="1">IFERROR(__xludf.DUMMYFUNCTION("IMPORTRANGE(""https://docs.google.com/spreadsheets/d/1u_5HmT3-RnSjbo8rH_K-Jubv3gAqQy2Z6s8R5ZGJCTc/edit#gid=1271166664"",""Total Report!I35"")"),27)</f>
        <v>27</v>
      </c>
      <c r="H18" s="369">
        <f ca="1">IFERROR(__xludf.DUMMYFUNCTION("IMPORTRANGE(""https://docs.google.com/spreadsheets/d/1u_5HmT3-RnSjbo8rH_K-Jubv3gAqQy2Z6s8R5ZGJCTc/edit#gid=1271166664"",""Total Report!J35"")"),3)</f>
        <v>3</v>
      </c>
      <c r="I18" s="370">
        <f ca="1">IFERROR(__xludf.DUMMYFUNCTION("IMPORTRANGE(""https://docs.google.com/spreadsheets/d/1u_5HmT3-RnSjbo8rH_K-Jubv3gAqQy2Z6s8R5ZGJCTc/edit#gid=1271166664"",""Total Report!K35"")"),7)</f>
        <v>7</v>
      </c>
      <c r="J18" s="371">
        <f ca="1">IFERROR(__xludf.DUMMYFUNCTION("IMPORTRANGE(""https://docs.google.com/spreadsheets/d/1u_5HmT3-RnSjbo8rH_K-Jubv3gAqQy2Z6s8R5ZGJCTc/edit#gid=1271166664"",""Total Report!L35"")"),6)</f>
        <v>6</v>
      </c>
      <c r="K18" s="372">
        <f ca="1">IFERROR(__xludf.DUMMYFUNCTION("IMPORTRANGE(""https://docs.google.com/spreadsheets/d/1u_5HmT3-RnSjbo8rH_K-Jubv3gAqQy2Z6s8R5ZGJCTc/edit#gid=1271166664"",""Total Report!M35"")"),15)</f>
        <v>15</v>
      </c>
      <c r="L18" s="370">
        <f ca="1">IFERROR(__xludf.DUMMYFUNCTION("IMPORTRANGE(""https://docs.google.com/spreadsheets/d/1u_5HmT3-RnSjbo8rH_K-Jubv3gAqQy2Z6s8R5ZGJCTc/edit#gid=1271166664"",""Total Report!N35"")"),15)</f>
        <v>15</v>
      </c>
      <c r="M18" s="373">
        <f ca="1">IFERROR(__xludf.DUMMYFUNCTION("IMPORTRANGE(""https://docs.google.com/spreadsheets/d/1u_5HmT3-RnSjbo8rH_K-Jubv3gAqQy2Z6s8R5ZGJCTc/edit#gid=1271166664"",""Total Report!O35"")"),30)</f>
        <v>30</v>
      </c>
      <c r="N18" s="369">
        <f ca="1">IFERROR(__xludf.DUMMYFUNCTION("IMPORTRANGE(""https://docs.google.com/spreadsheets/d/1u_5HmT3-RnSjbo8rH_K-Jubv3gAqQy2Z6s8R5ZGJCTc/edit#gid=1271166664"",""Total Report!P35"")"),7)</f>
        <v>7</v>
      </c>
      <c r="O18" s="370">
        <f ca="1">IFERROR(__xludf.DUMMYFUNCTION("IMPORTRANGE(""https://docs.google.com/spreadsheets/d/1u_5HmT3-RnSjbo8rH_K-Jubv3gAqQy2Z6s8R5ZGJCTc/edit#gid=1271166664"",""Total Report!Q35"")"),7)</f>
        <v>7</v>
      </c>
      <c r="P18" s="371">
        <f ca="1">IFERROR(__xludf.DUMMYFUNCTION("IMPORTRANGE(""https://docs.google.com/spreadsheets/d/1u_5HmT3-RnSjbo8rH_K-Jubv3gAqQy2Z6s8R5ZGJCTc/edit#gid=1271166664"",""Total Report!R35"")"),14)</f>
        <v>14</v>
      </c>
      <c r="Q18" s="372">
        <f ca="1">IFERROR(__xludf.DUMMYFUNCTION("IMPORTRANGE(""https://docs.google.com/spreadsheets/d/1u_5HmT3-RnSjbo8rH_K-Jubv3gAqQy2Z6s8R5ZGJCTc/edit#gid=1271166664"",""Total Report!S35"")"),2)</f>
        <v>2</v>
      </c>
      <c r="R18" s="370">
        <f ca="1">IFERROR(__xludf.DUMMYFUNCTION("IMPORTRANGE(""https://docs.google.com/spreadsheets/d/1u_5HmT3-RnSjbo8rH_K-Jubv3gAqQy2Z6s8R5ZGJCTc/edit#gid=1271166664"",""Total Report!T35"")"),3)</f>
        <v>3</v>
      </c>
      <c r="S18" s="373">
        <f ca="1">IFERROR(__xludf.DUMMYFUNCTION("IMPORTRANGE(""https://docs.google.com/spreadsheets/d/1u_5HmT3-RnSjbo8rH_K-Jubv3gAqQy2Z6s8R5ZGJCTc/edit#gid=1271166664"",""Total Report!U35"")"),4)</f>
        <v>4</v>
      </c>
      <c r="T18" s="369">
        <f ca="1">IFERROR(__xludf.DUMMYFUNCTION("IMPORTRANGE(""https://docs.google.com/spreadsheets/d/1u_5HmT3-RnSjbo8rH_K-Jubv3gAqQy2Z6s8R5ZGJCTc/edit#gid=1271166664"",""Total Report!V35"")"),2)</f>
        <v>2</v>
      </c>
      <c r="U18" s="370">
        <f ca="1">IFERROR(__xludf.DUMMYFUNCTION("IMPORTRANGE(""https://docs.google.com/spreadsheets/d/1u_5HmT3-RnSjbo8rH_K-Jubv3gAqQy2Z6s8R5ZGJCTc/edit#gid=1271166664"",""Total Report!W35"")"),3)</f>
        <v>3</v>
      </c>
      <c r="V18" s="371">
        <f ca="1">IFERROR(__xludf.DUMMYFUNCTION("IMPORTRANGE(""https://docs.google.com/spreadsheets/d/1u_5HmT3-RnSjbo8rH_K-Jubv3gAqQy2Z6s8R5ZGJCTc/edit#gid=1271166664"",""Total Report!X35"")"),4)</f>
        <v>4</v>
      </c>
      <c r="W18" s="372">
        <f ca="1">IFERROR(__xludf.DUMMYFUNCTION("IMPORTRANGE(""https://docs.google.com/spreadsheets/d/1u_5HmT3-RnSjbo8rH_K-Jubv3gAqQy2Z6s8R5ZGJCTc/edit#gid=1271166664"",""Total Report!Y35"")"),7)</f>
        <v>7</v>
      </c>
      <c r="X18" s="370">
        <f ca="1">IFERROR(__xludf.DUMMYFUNCTION("IMPORTRANGE(""https://docs.google.com/spreadsheets/d/1u_5HmT3-RnSjbo8rH_K-Jubv3gAqQy2Z6s8R5ZGJCTc/edit#gid=1271166664"",""Total Report!Z35"")"),7)</f>
        <v>7</v>
      </c>
      <c r="Y18" s="373">
        <f ca="1">IFERROR(__xludf.DUMMYFUNCTION("IMPORTRANGE(""https://docs.google.com/spreadsheets/d/1u_5HmT3-RnSjbo8rH_K-Jubv3gAqQy2Z6s8R5ZGJCTc/edit#gid=1271166664"",""Total Report!AA35"")"),14)</f>
        <v>14</v>
      </c>
      <c r="Z18" s="369">
        <f ca="1">IFERROR(__xludf.DUMMYFUNCTION("IMPORTRANGE(""https://docs.google.com/spreadsheets/d/1u_5HmT3-RnSjbo8rH_K-Jubv3gAqQy2Z6s8R5ZGJCTc/edit#gid=1271166664"",""Total Report!AB35"")"),6)</f>
        <v>6</v>
      </c>
      <c r="AA18" s="370">
        <f ca="1">IFERROR(__xludf.DUMMYFUNCTION("IMPORTRANGE(""https://docs.google.com/spreadsheets/d/1u_5HmT3-RnSjbo8rH_K-Jubv3gAqQy2Z6s8R5ZGJCTc/edit#gid=1271166664"",""Total Report!AC35"")"),6)</f>
        <v>6</v>
      </c>
      <c r="AB18" s="371">
        <f ca="1">IFERROR(__xludf.DUMMYFUNCTION("IMPORTRANGE(""https://docs.google.com/spreadsheets/d/1u_5HmT3-RnSjbo8rH_K-Jubv3gAqQy2Z6s8R5ZGJCTc/edit#gid=1271166664"",""Total Report!AD35"")"),12)</f>
        <v>12</v>
      </c>
      <c r="AC18" s="372">
        <f ca="1">IFERROR(__xludf.DUMMYFUNCTION("IMPORTRANGE(""https://docs.google.com/spreadsheets/d/1u_5HmT3-RnSjbo8rH_K-Jubv3gAqQy2Z6s8R5ZGJCTc/edit#gid=1271166664"",""Total Report!AE35"")"),2)</f>
        <v>2</v>
      </c>
      <c r="AD18" s="370">
        <f ca="1">IFERROR(__xludf.DUMMYFUNCTION("IMPORTRANGE(""https://docs.google.com/spreadsheets/d/1u_5HmT3-RnSjbo8rH_K-Jubv3gAqQy2Z6s8R5ZGJCTc/edit#gid=1271166664"",""Total Report!AF35"")"),4)</f>
        <v>4</v>
      </c>
      <c r="AE18" s="373">
        <f ca="1">IFERROR(__xludf.DUMMYFUNCTION("IMPORTRANGE(""https://docs.google.com/spreadsheets/d/1u_5HmT3-RnSjbo8rH_K-Jubv3gAqQy2Z6s8R5ZGJCTc/edit#gid=1271166664"",""Total Report!AG35"")"),4)</f>
        <v>4</v>
      </c>
      <c r="AF18" s="369">
        <f ca="1">IFERROR(__xludf.DUMMYFUNCTION("IMPORTRANGE(""https://docs.google.com/spreadsheets/d/1u_5HmT3-RnSjbo8rH_K-Jubv3gAqQy2Z6s8R5ZGJCTc/edit#gid=1271166664"",""Total Report!AH35"")"),10)</f>
        <v>10</v>
      </c>
      <c r="AG18" s="370">
        <f ca="1">IFERROR(__xludf.DUMMYFUNCTION("IMPORTRANGE(""https://docs.google.com/spreadsheets/d/1u_5HmT3-RnSjbo8rH_K-Jubv3gAqQy2Z6s8R5ZGJCTc/edit#gid=1271166664"",""Total Report!AI35"")"),19)</f>
        <v>19</v>
      </c>
      <c r="AH18" s="371">
        <f ca="1">IFERROR(__xludf.DUMMYFUNCTION("IMPORTRANGE(""https://docs.google.com/spreadsheets/d/1u_5HmT3-RnSjbo8rH_K-Jubv3gAqQy2Z6s8R5ZGJCTc/edit#gid=1271166664"",""Total Report!AJ35"")"),20)</f>
        <v>20</v>
      </c>
      <c r="AI18" s="372">
        <f ca="1">IFERROR(__xludf.DUMMYFUNCTION("IMPORTRANGE(""https://docs.google.com/spreadsheets/d/1u_5HmT3-RnSjbo8rH_K-Jubv3gAqQy2Z6s8R5ZGJCTc/edit#gid=1271166664"",""Total Report!AK35"")"),26)</f>
        <v>26</v>
      </c>
      <c r="AJ18" s="370">
        <f ca="1">IFERROR(__xludf.DUMMYFUNCTION("IMPORTRANGE(""https://docs.google.com/spreadsheets/d/1u_5HmT3-RnSjbo8rH_K-Jubv3gAqQy2Z6s8R5ZGJCTc/edit#gid=1271166664"",""Total Report!AL35"")"),36)</f>
        <v>36</v>
      </c>
      <c r="AK18" s="373">
        <f ca="1">IFERROR(__xludf.DUMMYFUNCTION("IMPORTRANGE(""https://docs.google.com/spreadsheets/d/1u_5HmT3-RnSjbo8rH_K-Jubv3gAqQy2Z6s8R5ZGJCTc/edit#gid=1271166664"",""Total Report!AM35"")"),52)</f>
        <v>52</v>
      </c>
      <c r="AL18" s="369">
        <f ca="1">IFERROR(__xludf.DUMMYFUNCTION("IMPORTRANGE(""https://docs.google.com/spreadsheets/d/1u_5HmT3-RnSjbo8rH_K-Jubv3gAqQy2Z6s8R5ZGJCTc/edit#gid=1271166664"",""Total Report!AN35"")"),0)</f>
        <v>0</v>
      </c>
      <c r="AM18" s="370">
        <f ca="1">IFERROR(__xludf.DUMMYFUNCTION("IMPORTRANGE(""https://docs.google.com/spreadsheets/d/1u_5HmT3-RnSjbo8rH_K-Jubv3gAqQy2Z6s8R5ZGJCTc/edit#gid=1271166664"",""Total Report!AO35"")"),0)</f>
        <v>0</v>
      </c>
      <c r="AN18" s="371">
        <f ca="1">IFERROR(__xludf.DUMMYFUNCTION("IMPORTRANGE(""https://docs.google.com/spreadsheets/d/1u_5HmT3-RnSjbo8rH_K-Jubv3gAqQy2Z6s8R5ZGJCTc/edit#gid=1271166664"",""Total Report!AP35"")"),0)</f>
        <v>0</v>
      </c>
      <c r="AO18" s="372">
        <f ca="1">IFERROR(__xludf.DUMMYFUNCTION("IMPORTRANGE(""https://docs.google.com/spreadsheets/d/1u_5HmT3-RnSjbo8rH_K-Jubv3gAqQy2Z6s8R5ZGJCTc/edit#gid=1271166664"",""Total Report!AQ35"")"),6)</f>
        <v>6</v>
      </c>
      <c r="AP18" s="370">
        <f ca="1">IFERROR(__xludf.DUMMYFUNCTION("IMPORTRANGE(""https://docs.google.com/spreadsheets/d/1u_5HmT3-RnSjbo8rH_K-Jubv3gAqQy2Z6s8R5ZGJCTc/edit#gid=1271166664"",""Total Report!AR35"")"),8)</f>
        <v>8</v>
      </c>
      <c r="AQ18" s="373">
        <f ca="1">IFERROR(__xludf.DUMMYFUNCTION("IMPORTRANGE(""https://docs.google.com/spreadsheets/d/1u_5HmT3-RnSjbo8rH_K-Jubv3gAqQy2Z6s8R5ZGJCTc/edit#gid=1271166664"",""Total Report!AS35"")"),12)</f>
        <v>12</v>
      </c>
      <c r="AR18" s="369">
        <f ca="1">IFERROR(__xludf.DUMMYFUNCTION("IMPORTRANGE(""https://docs.google.com/spreadsheets/d/1u_5HmT3-RnSjbo8rH_K-Jubv3gAqQy2Z6s8R5ZGJCTc/edit#gid=1271166664"",""Total Report!AT35"")"),1)</f>
        <v>1</v>
      </c>
      <c r="AS18" s="370">
        <f ca="1">IFERROR(__xludf.DUMMYFUNCTION("IMPORTRANGE(""https://docs.google.com/spreadsheets/d/1u_5HmT3-RnSjbo8rH_K-Jubv3gAqQy2Z6s8R5ZGJCTc/edit#gid=1271166664"",""Total Report!AU35"")"),1)</f>
        <v>1</v>
      </c>
      <c r="AT18" s="371">
        <f ca="1">IFERROR(__xludf.DUMMYFUNCTION("IMPORTRANGE(""https://docs.google.com/spreadsheets/d/1u_5HmT3-RnSjbo8rH_K-Jubv3gAqQy2Z6s8R5ZGJCTc/edit#gid=1271166664"",""Total Report!AV35"")"),2)</f>
        <v>2</v>
      </c>
      <c r="AU18" s="372">
        <f ca="1">IFERROR(__xludf.DUMMYFUNCTION("IMPORTRANGE(""https://docs.google.com/spreadsheets/d/1u_5HmT3-RnSjbo8rH_K-Jubv3gAqQy2Z6s8R5ZGJCTc/edit#gid=1271166664"",""Total Report!AW35"")"),0)</f>
        <v>0</v>
      </c>
      <c r="AV18" s="370">
        <f ca="1">IFERROR(__xludf.DUMMYFUNCTION("IMPORTRANGE(""https://docs.google.com/spreadsheets/d/1u_5HmT3-RnSjbo8rH_K-Jubv3gAqQy2Z6s8R5ZGJCTc/edit#gid=1271166664"",""Total Report!AX35"")"),0)</f>
        <v>0</v>
      </c>
      <c r="AW18" s="371">
        <f ca="1">IFERROR(__xludf.DUMMYFUNCTION("IMPORTRANGE(""https://docs.google.com/spreadsheets/d/1u_5HmT3-RnSjbo8rH_K-Jubv3gAqQy2Z6s8R5ZGJCTc/edit#gid=1271166664"",""Total Report!AY35"")"),0)</f>
        <v>0</v>
      </c>
      <c r="AX18" s="375">
        <f t="shared" ca="1" si="1"/>
        <v>100</v>
      </c>
      <c r="AY18" s="375">
        <f t="shared" ca="1" si="1"/>
        <v>136</v>
      </c>
      <c r="AZ18" s="347"/>
      <c r="BA18" s="347"/>
      <c r="BB18" s="347"/>
      <c r="BC18" s="347"/>
      <c r="BD18" s="347"/>
      <c r="BE18" s="347"/>
      <c r="BF18" s="347"/>
      <c r="BG18" s="347"/>
      <c r="BH18" s="347"/>
      <c r="BI18" s="347"/>
      <c r="BJ18" s="347"/>
      <c r="BK18" s="347"/>
      <c r="BL18" s="347"/>
      <c r="BM18" s="347"/>
      <c r="BN18" s="347"/>
      <c r="BO18" s="347"/>
      <c r="BP18" s="347"/>
      <c r="BQ18" s="347"/>
      <c r="BR18" s="347"/>
      <c r="BS18" s="347"/>
      <c r="BT18" s="347"/>
      <c r="BU18" s="347"/>
      <c r="BV18" s="347"/>
      <c r="BW18" s="347"/>
      <c r="BX18" s="347"/>
      <c r="BY18" s="347"/>
      <c r="BZ18" s="347"/>
      <c r="CA18" s="347"/>
      <c r="CB18" s="347"/>
    </row>
    <row r="19" spans="1:80" s="348" customFormat="1" ht="28.5" thickBot="1">
      <c r="A19" s="384" t="s">
        <v>71</v>
      </c>
      <c r="B19" s="385">
        <f t="shared" ref="B19:AW19" ca="1" si="2">SUM(B14:B18)</f>
        <v>26</v>
      </c>
      <c r="C19" s="386">
        <f t="shared" ca="1" si="2"/>
        <v>27</v>
      </c>
      <c r="D19" s="387">
        <f t="shared" ca="1" si="2"/>
        <v>89</v>
      </c>
      <c r="E19" s="388">
        <f t="shared" ca="1" si="2"/>
        <v>51</v>
      </c>
      <c r="F19" s="386">
        <f t="shared" ca="1" si="2"/>
        <v>50</v>
      </c>
      <c r="G19" s="389">
        <f t="shared" ca="1" si="2"/>
        <v>155</v>
      </c>
      <c r="H19" s="385">
        <f t="shared" ca="1" si="2"/>
        <v>16</v>
      </c>
      <c r="I19" s="386">
        <f t="shared" ca="1" si="2"/>
        <v>21</v>
      </c>
      <c r="J19" s="387">
        <f t="shared" ca="1" si="2"/>
        <v>52</v>
      </c>
      <c r="K19" s="388">
        <f t="shared" ca="1" si="2"/>
        <v>24</v>
      </c>
      <c r="L19" s="386">
        <f t="shared" ca="1" si="2"/>
        <v>24</v>
      </c>
      <c r="M19" s="389">
        <f t="shared" ca="1" si="2"/>
        <v>58</v>
      </c>
      <c r="N19" s="385">
        <f t="shared" ca="1" si="2"/>
        <v>55</v>
      </c>
      <c r="O19" s="386">
        <f t="shared" ca="1" si="2"/>
        <v>54</v>
      </c>
      <c r="P19" s="387">
        <f t="shared" ca="1" si="2"/>
        <v>191</v>
      </c>
      <c r="Q19" s="388">
        <f t="shared" ca="1" si="2"/>
        <v>25</v>
      </c>
      <c r="R19" s="386">
        <f t="shared" ca="1" si="2"/>
        <v>26</v>
      </c>
      <c r="S19" s="389">
        <f t="shared" ca="1" si="2"/>
        <v>78</v>
      </c>
      <c r="T19" s="385">
        <f t="shared" ca="1" si="2"/>
        <v>12</v>
      </c>
      <c r="U19" s="386">
        <f t="shared" ca="1" si="2"/>
        <v>12</v>
      </c>
      <c r="V19" s="387">
        <f t="shared" ca="1" si="2"/>
        <v>40</v>
      </c>
      <c r="W19" s="388">
        <f t="shared" ca="1" si="2"/>
        <v>26</v>
      </c>
      <c r="X19" s="386">
        <f t="shared" ca="1" si="2"/>
        <v>27</v>
      </c>
      <c r="Y19" s="389">
        <f t="shared" ca="1" si="2"/>
        <v>77</v>
      </c>
      <c r="Z19" s="385">
        <f t="shared" ca="1" si="2"/>
        <v>21</v>
      </c>
      <c r="AA19" s="386">
        <f t="shared" ca="1" si="2"/>
        <v>21</v>
      </c>
      <c r="AB19" s="387">
        <f t="shared" ca="1" si="2"/>
        <v>61</v>
      </c>
      <c r="AC19" s="388">
        <f t="shared" ca="1" si="2"/>
        <v>20</v>
      </c>
      <c r="AD19" s="386">
        <f t="shared" ca="1" si="2"/>
        <v>25</v>
      </c>
      <c r="AE19" s="389">
        <f t="shared" ca="1" si="2"/>
        <v>82</v>
      </c>
      <c r="AF19" s="385">
        <f t="shared" ca="1" si="2"/>
        <v>44</v>
      </c>
      <c r="AG19" s="386">
        <f t="shared" ca="1" si="2"/>
        <v>51</v>
      </c>
      <c r="AH19" s="387">
        <f t="shared" ca="1" si="2"/>
        <v>156</v>
      </c>
      <c r="AI19" s="388">
        <f t="shared" ca="1" si="2"/>
        <v>91</v>
      </c>
      <c r="AJ19" s="386">
        <f t="shared" ca="1" si="2"/>
        <v>103</v>
      </c>
      <c r="AK19" s="389">
        <f t="shared" ca="1" si="2"/>
        <v>248</v>
      </c>
      <c r="AL19" s="385">
        <f t="shared" ca="1" si="2"/>
        <v>5</v>
      </c>
      <c r="AM19" s="386">
        <f t="shared" ca="1" si="2"/>
        <v>3</v>
      </c>
      <c r="AN19" s="387">
        <f t="shared" ca="1" si="2"/>
        <v>25</v>
      </c>
      <c r="AO19" s="388">
        <f t="shared" ca="1" si="2"/>
        <v>9</v>
      </c>
      <c r="AP19" s="386">
        <f t="shared" ca="1" si="2"/>
        <v>11</v>
      </c>
      <c r="AQ19" s="389">
        <f t="shared" ca="1" si="2"/>
        <v>22</v>
      </c>
      <c r="AR19" s="385">
        <f t="shared" ca="1" si="2"/>
        <v>4</v>
      </c>
      <c r="AS19" s="386">
        <f t="shared" ca="1" si="2"/>
        <v>4</v>
      </c>
      <c r="AT19" s="387">
        <f t="shared" ca="1" si="2"/>
        <v>14</v>
      </c>
      <c r="AU19" s="388">
        <f t="shared" ca="1" si="2"/>
        <v>0</v>
      </c>
      <c r="AV19" s="386">
        <f t="shared" ca="1" si="2"/>
        <v>0</v>
      </c>
      <c r="AW19" s="387">
        <f t="shared" ca="1" si="2"/>
        <v>0</v>
      </c>
      <c r="AX19" s="390">
        <f t="shared" ref="AX19:AY19" ca="1" si="3">SUM(AX14:AX18)</f>
        <v>428</v>
      </c>
      <c r="AY19" s="390">
        <f t="shared" ca="1" si="3"/>
        <v>459</v>
      </c>
      <c r="AZ19" s="347"/>
      <c r="BA19" s="347"/>
      <c r="BB19" s="347"/>
      <c r="BC19" s="347"/>
      <c r="BD19" s="347"/>
      <c r="BE19" s="347"/>
      <c r="BF19" s="347"/>
      <c r="BG19" s="347"/>
      <c r="BH19" s="347"/>
      <c r="BI19" s="347"/>
      <c r="BJ19" s="347"/>
      <c r="BK19" s="347"/>
      <c r="BL19" s="347"/>
      <c r="BM19" s="347"/>
      <c r="BN19" s="347"/>
      <c r="BO19" s="347"/>
      <c r="BP19" s="347"/>
      <c r="BQ19" s="347"/>
      <c r="BR19" s="347"/>
      <c r="BS19" s="347"/>
      <c r="BT19" s="347"/>
      <c r="BU19" s="347"/>
      <c r="BV19" s="347"/>
      <c r="BW19" s="347"/>
      <c r="BX19" s="347"/>
      <c r="BY19" s="347"/>
      <c r="BZ19" s="347"/>
      <c r="CA19" s="347"/>
      <c r="CB19" s="347"/>
    </row>
    <row r="20" spans="1:80" ht="28.5" thickBot="1">
      <c r="A20" s="391" t="s">
        <v>112</v>
      </c>
      <c r="B20" s="392">
        <v>588</v>
      </c>
      <c r="C20" s="393"/>
      <c r="D20" s="394">
        <v>2313.13</v>
      </c>
      <c r="E20" s="395">
        <f ca="1">ภ.1!$B$38</f>
        <v>640</v>
      </c>
      <c r="F20" s="393"/>
      <c r="G20" s="396">
        <v>3600.15</v>
      </c>
      <c r="H20" s="392">
        <v>576</v>
      </c>
      <c r="I20" s="393"/>
      <c r="J20" s="394">
        <v>2110.98</v>
      </c>
      <c r="K20" s="395">
        <v>331</v>
      </c>
      <c r="L20" s="393"/>
      <c r="M20" s="397">
        <v>1795.47</v>
      </c>
      <c r="N20" s="392">
        <v>656</v>
      </c>
      <c r="O20" s="393"/>
      <c r="P20" s="394">
        <v>2855.47</v>
      </c>
      <c r="Q20" s="395">
        <f ca="1">ภ.5!$B$38</f>
        <v>563</v>
      </c>
      <c r="R20" s="393"/>
      <c r="S20" s="396">
        <v>1877.6</v>
      </c>
      <c r="T20" s="392">
        <v>348</v>
      </c>
      <c r="U20" s="393"/>
      <c r="V20" s="398">
        <v>980.09</v>
      </c>
      <c r="W20" s="395">
        <f ca="1">ภ.7!$B$38</f>
        <v>402</v>
      </c>
      <c r="X20" s="393"/>
      <c r="Y20" s="397">
        <v>1579.43</v>
      </c>
      <c r="Z20" s="392">
        <f ca="1">ภ.8!$B$38</f>
        <v>301</v>
      </c>
      <c r="AA20" s="393"/>
      <c r="AB20" s="398">
        <v>1934.79</v>
      </c>
      <c r="AC20" s="395">
        <f ca="1">ภ.9!$B$38</f>
        <v>305</v>
      </c>
      <c r="AD20" s="393"/>
      <c r="AE20" s="397">
        <v>684.84</v>
      </c>
      <c r="AF20" s="392">
        <v>864</v>
      </c>
      <c r="AG20" s="393"/>
      <c r="AH20" s="398">
        <v>3192.91</v>
      </c>
      <c r="AI20" s="395">
        <f ca="1">บช.สอท.!$B$38</f>
        <v>315</v>
      </c>
      <c r="AJ20" s="393"/>
      <c r="AK20" s="397">
        <v>833.64</v>
      </c>
      <c r="AL20" s="392">
        <v>195</v>
      </c>
      <c r="AM20" s="393"/>
      <c r="AN20" s="398">
        <v>473.11</v>
      </c>
      <c r="AO20" s="395">
        <v>373</v>
      </c>
      <c r="AP20" s="393"/>
      <c r="AQ20" s="397">
        <v>469.85</v>
      </c>
      <c r="AR20" s="392">
        <v>209</v>
      </c>
      <c r="AS20" s="393"/>
      <c r="AT20" s="398">
        <v>321.54000000000002</v>
      </c>
      <c r="AU20" s="395">
        <f ca="1">บช.ตชด.!$B$38</f>
        <v>9</v>
      </c>
      <c r="AV20" s="393"/>
      <c r="AW20" s="394">
        <v>22</v>
      </c>
      <c r="AX20" s="399">
        <f ca="1">SUM(B20,E20,H20,K20,N20,Q20,T20,W20,Z20,AC20,AF20,AI20,AL20,AO20,AR20,AU20)</f>
        <v>6675</v>
      </c>
      <c r="AY20" s="376"/>
      <c r="AZ20" s="374"/>
      <c r="BA20" s="374"/>
      <c r="BB20" s="374"/>
      <c r="BC20" s="374"/>
      <c r="BD20" s="374"/>
      <c r="BE20" s="374"/>
      <c r="BF20" s="374"/>
      <c r="BG20" s="374"/>
      <c r="BH20" s="374"/>
      <c r="BI20" s="374"/>
      <c r="BJ20" s="374"/>
      <c r="BK20" s="374"/>
      <c r="BL20" s="374"/>
      <c r="BM20" s="374"/>
      <c r="BN20" s="374"/>
      <c r="BO20" s="374"/>
      <c r="BP20" s="374"/>
      <c r="BQ20" s="374"/>
      <c r="BR20" s="374"/>
      <c r="BS20" s="374"/>
      <c r="BT20" s="374"/>
      <c r="BU20" s="374"/>
      <c r="BV20" s="374"/>
      <c r="BW20" s="374"/>
      <c r="BX20" s="374"/>
      <c r="BY20" s="374"/>
      <c r="BZ20" s="374"/>
      <c r="CA20" s="374"/>
      <c r="CB20" s="374"/>
    </row>
  </sheetData>
  <mergeCells count="20">
    <mergeCell ref="AC4:AE4"/>
    <mergeCell ref="AF4:AH4"/>
    <mergeCell ref="A4:A5"/>
    <mergeCell ref="B4:D4"/>
    <mergeCell ref="E4:G4"/>
    <mergeCell ref="H4:J4"/>
    <mergeCell ref="K4:M4"/>
    <mergeCell ref="N4:P4"/>
    <mergeCell ref="A1:AY1"/>
    <mergeCell ref="A2:AY2"/>
    <mergeCell ref="AI4:AK4"/>
    <mergeCell ref="AL4:AN4"/>
    <mergeCell ref="AO4:AQ4"/>
    <mergeCell ref="AR4:AT4"/>
    <mergeCell ref="AU4:AW4"/>
    <mergeCell ref="AX4:AY4"/>
    <mergeCell ref="Q4:S4"/>
    <mergeCell ref="T4:V4"/>
    <mergeCell ref="W4:Y4"/>
    <mergeCell ref="Z4:AB4"/>
  </mergeCells>
  <pageMargins left="0.7" right="0.7" top="0.75" bottom="0.75" header="0.3" footer="0.3"/>
  <pageSetup paperSize="9" orientation="portrait" verticalDpi="0" r:id="rId1"/>
  <ignoredErrors>
    <ignoredError sqref="AX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B40"/>
  <sheetViews>
    <sheetView view="pageBreakPreview" topLeftCell="A31" zoomScale="80" zoomScaleNormal="100" zoomScaleSheetLayoutView="80" workbookViewId="0">
      <selection activeCell="AY38" sqref="AY38"/>
    </sheetView>
  </sheetViews>
  <sheetFormatPr defaultColWidth="14.42578125" defaultRowHeight="27.75"/>
  <cols>
    <col min="1" max="1" width="69.140625" style="401" customWidth="1"/>
    <col min="2" max="48" width="6.42578125" style="401" hidden="1" customWidth="1"/>
    <col min="49" max="49" width="3" style="401" hidden="1" customWidth="1"/>
    <col min="50" max="51" width="17.140625" style="401" customWidth="1"/>
    <col min="52" max="80" width="5.140625" style="401" customWidth="1"/>
    <col min="81" max="16384" width="14.42578125" style="401"/>
  </cols>
  <sheetData>
    <row r="1" spans="1:80">
      <c r="A1" s="693" t="s">
        <v>110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  <c r="AD1" s="693"/>
      <c r="AE1" s="693"/>
      <c r="AF1" s="693"/>
      <c r="AG1" s="693"/>
      <c r="AH1" s="693"/>
      <c r="AI1" s="693"/>
      <c r="AJ1" s="693"/>
      <c r="AK1" s="693"/>
      <c r="AL1" s="693"/>
      <c r="AM1" s="693"/>
      <c r="AN1" s="693"/>
      <c r="AO1" s="693"/>
      <c r="AP1" s="693"/>
      <c r="AQ1" s="693"/>
      <c r="AR1" s="693"/>
      <c r="AS1" s="693"/>
      <c r="AT1" s="693"/>
      <c r="AU1" s="693"/>
      <c r="AV1" s="693"/>
      <c r="AW1" s="693"/>
      <c r="AX1" s="693"/>
      <c r="AY1" s="693"/>
    </row>
    <row r="2" spans="1:80">
      <c r="A2" s="694" t="s">
        <v>111</v>
      </c>
      <c r="B2" s="694"/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4"/>
      <c r="N2" s="694"/>
      <c r="O2" s="694"/>
      <c r="P2" s="694"/>
      <c r="Q2" s="694"/>
      <c r="R2" s="694"/>
      <c r="S2" s="694"/>
      <c r="T2" s="694"/>
      <c r="U2" s="694"/>
      <c r="V2" s="694"/>
      <c r="W2" s="694"/>
      <c r="X2" s="694"/>
      <c r="Y2" s="694"/>
      <c r="Z2" s="694"/>
      <c r="AA2" s="694"/>
      <c r="AB2" s="694"/>
      <c r="AC2" s="694"/>
      <c r="AD2" s="694"/>
      <c r="AE2" s="694"/>
      <c r="AF2" s="694"/>
      <c r="AG2" s="694"/>
      <c r="AH2" s="694"/>
      <c r="AI2" s="694"/>
      <c r="AJ2" s="694"/>
      <c r="AK2" s="694"/>
      <c r="AL2" s="694"/>
      <c r="AM2" s="694"/>
      <c r="AN2" s="694"/>
      <c r="AO2" s="694"/>
      <c r="AP2" s="694"/>
      <c r="AQ2" s="694"/>
      <c r="AR2" s="694"/>
      <c r="AS2" s="694"/>
      <c r="AT2" s="694"/>
      <c r="AU2" s="694"/>
      <c r="AV2" s="694"/>
      <c r="AW2" s="694"/>
      <c r="AX2" s="694"/>
      <c r="AY2" s="694"/>
    </row>
    <row r="3" spans="1:80" ht="9" customHeight="1" thickBot="1"/>
    <row r="4" spans="1:80" ht="28.5" thickBot="1">
      <c r="A4" s="704" t="s">
        <v>114</v>
      </c>
      <c r="B4" s="706" t="s">
        <v>11</v>
      </c>
      <c r="C4" s="700"/>
      <c r="D4" s="702"/>
      <c r="E4" s="699" t="s">
        <v>9</v>
      </c>
      <c r="F4" s="700"/>
      <c r="G4" s="701"/>
      <c r="H4" s="699" t="s">
        <v>4</v>
      </c>
      <c r="I4" s="700"/>
      <c r="J4" s="702"/>
      <c r="K4" s="699" t="s">
        <v>2</v>
      </c>
      <c r="L4" s="700"/>
      <c r="M4" s="701"/>
      <c r="N4" s="699" t="s">
        <v>0</v>
      </c>
      <c r="O4" s="700"/>
      <c r="P4" s="702"/>
      <c r="Q4" s="699" t="s">
        <v>14</v>
      </c>
      <c r="R4" s="700"/>
      <c r="S4" s="701"/>
      <c r="T4" s="699" t="s">
        <v>15</v>
      </c>
      <c r="U4" s="700"/>
      <c r="V4" s="702"/>
      <c r="W4" s="699" t="s">
        <v>1</v>
      </c>
      <c r="X4" s="700"/>
      <c r="Y4" s="701"/>
      <c r="Z4" s="699" t="s">
        <v>3</v>
      </c>
      <c r="AA4" s="700"/>
      <c r="AB4" s="702"/>
      <c r="AC4" s="699" t="s">
        <v>8</v>
      </c>
      <c r="AD4" s="700"/>
      <c r="AE4" s="701"/>
      <c r="AF4" s="699" t="s">
        <v>5</v>
      </c>
      <c r="AG4" s="700"/>
      <c r="AH4" s="702"/>
      <c r="AI4" s="703" t="s">
        <v>6</v>
      </c>
      <c r="AJ4" s="700"/>
      <c r="AK4" s="701"/>
      <c r="AL4" s="703" t="s">
        <v>12</v>
      </c>
      <c r="AM4" s="700"/>
      <c r="AN4" s="702"/>
      <c r="AO4" s="703" t="s">
        <v>7</v>
      </c>
      <c r="AP4" s="700"/>
      <c r="AQ4" s="701"/>
      <c r="AR4" s="703" t="s">
        <v>10</v>
      </c>
      <c r="AS4" s="700"/>
      <c r="AT4" s="702"/>
      <c r="AU4" s="703" t="s">
        <v>13</v>
      </c>
      <c r="AV4" s="700"/>
      <c r="AW4" s="700"/>
      <c r="AX4" s="707" t="s">
        <v>79</v>
      </c>
      <c r="AY4" s="708"/>
      <c r="AZ4" s="400"/>
      <c r="BA4" s="400"/>
      <c r="BB4" s="400"/>
      <c r="BC4" s="400"/>
      <c r="BD4" s="400"/>
      <c r="BE4" s="400"/>
      <c r="BF4" s="400"/>
      <c r="BG4" s="400"/>
      <c r="BH4" s="400"/>
      <c r="BI4" s="400"/>
      <c r="BJ4" s="400"/>
      <c r="BK4" s="400"/>
      <c r="BL4" s="400"/>
      <c r="BM4" s="400"/>
      <c r="BN4" s="400"/>
      <c r="BO4" s="400"/>
      <c r="BP4" s="400"/>
      <c r="BQ4" s="400"/>
      <c r="BR4" s="400"/>
      <c r="BS4" s="400"/>
      <c r="BT4" s="400"/>
      <c r="BU4" s="400"/>
      <c r="BV4" s="400"/>
      <c r="BW4" s="400"/>
      <c r="BX4" s="400"/>
      <c r="BY4" s="400"/>
      <c r="BZ4" s="400"/>
      <c r="CA4" s="400"/>
      <c r="CB4" s="400"/>
    </row>
    <row r="5" spans="1:80" ht="28.5" thickBot="1">
      <c r="A5" s="705"/>
      <c r="B5" s="402" t="s">
        <v>21</v>
      </c>
      <c r="C5" s="403" t="s">
        <v>22</v>
      </c>
      <c r="D5" s="404" t="s">
        <v>53</v>
      </c>
      <c r="E5" s="405" t="s">
        <v>21</v>
      </c>
      <c r="F5" s="406" t="s">
        <v>22</v>
      </c>
      <c r="G5" s="407" t="s">
        <v>53</v>
      </c>
      <c r="H5" s="402" t="s">
        <v>21</v>
      </c>
      <c r="I5" s="403" t="s">
        <v>22</v>
      </c>
      <c r="J5" s="404" t="s">
        <v>53</v>
      </c>
      <c r="K5" s="405" t="s">
        <v>21</v>
      </c>
      <c r="L5" s="406" t="s">
        <v>22</v>
      </c>
      <c r="M5" s="407" t="s">
        <v>53</v>
      </c>
      <c r="N5" s="402" t="s">
        <v>21</v>
      </c>
      <c r="O5" s="403" t="s">
        <v>22</v>
      </c>
      <c r="P5" s="404" t="s">
        <v>53</v>
      </c>
      <c r="Q5" s="405" t="s">
        <v>21</v>
      </c>
      <c r="R5" s="406" t="s">
        <v>22</v>
      </c>
      <c r="S5" s="407" t="s">
        <v>53</v>
      </c>
      <c r="T5" s="402" t="s">
        <v>21</v>
      </c>
      <c r="U5" s="403" t="s">
        <v>22</v>
      </c>
      <c r="V5" s="404" t="s">
        <v>53</v>
      </c>
      <c r="W5" s="405" t="s">
        <v>21</v>
      </c>
      <c r="X5" s="406" t="s">
        <v>22</v>
      </c>
      <c r="Y5" s="407" t="s">
        <v>53</v>
      </c>
      <c r="Z5" s="402" t="s">
        <v>21</v>
      </c>
      <c r="AA5" s="403" t="s">
        <v>22</v>
      </c>
      <c r="AB5" s="404" t="s">
        <v>53</v>
      </c>
      <c r="AC5" s="405" t="s">
        <v>21</v>
      </c>
      <c r="AD5" s="406" t="s">
        <v>22</v>
      </c>
      <c r="AE5" s="407" t="s">
        <v>53</v>
      </c>
      <c r="AF5" s="402" t="s">
        <v>21</v>
      </c>
      <c r="AG5" s="403" t="s">
        <v>22</v>
      </c>
      <c r="AH5" s="404" t="s">
        <v>53</v>
      </c>
      <c r="AI5" s="405" t="s">
        <v>21</v>
      </c>
      <c r="AJ5" s="406" t="s">
        <v>22</v>
      </c>
      <c r="AK5" s="407" t="s">
        <v>53</v>
      </c>
      <c r="AL5" s="402" t="s">
        <v>21</v>
      </c>
      <c r="AM5" s="403" t="s">
        <v>22</v>
      </c>
      <c r="AN5" s="404" t="s">
        <v>53</v>
      </c>
      <c r="AO5" s="405" t="s">
        <v>21</v>
      </c>
      <c r="AP5" s="406" t="s">
        <v>22</v>
      </c>
      <c r="AQ5" s="407" t="s">
        <v>53</v>
      </c>
      <c r="AR5" s="402" t="s">
        <v>21</v>
      </c>
      <c r="AS5" s="403" t="s">
        <v>22</v>
      </c>
      <c r="AT5" s="404" t="s">
        <v>53</v>
      </c>
      <c r="AU5" s="408" t="s">
        <v>21</v>
      </c>
      <c r="AV5" s="406" t="s">
        <v>22</v>
      </c>
      <c r="AW5" s="407" t="s">
        <v>53</v>
      </c>
      <c r="AX5" s="409" t="s">
        <v>21</v>
      </c>
      <c r="AY5" s="410" t="s">
        <v>22</v>
      </c>
      <c r="AZ5" s="411"/>
      <c r="BA5" s="411"/>
      <c r="BB5" s="411"/>
      <c r="BC5" s="411"/>
      <c r="BD5" s="411"/>
      <c r="BE5" s="411"/>
      <c r="BF5" s="411"/>
      <c r="BG5" s="411"/>
      <c r="BH5" s="411"/>
      <c r="BI5" s="411"/>
      <c r="BJ5" s="411"/>
      <c r="BK5" s="411"/>
      <c r="BL5" s="411"/>
      <c r="BM5" s="411"/>
      <c r="BN5" s="411"/>
      <c r="BO5" s="411"/>
      <c r="BP5" s="411"/>
      <c r="BQ5" s="411"/>
      <c r="BR5" s="411"/>
      <c r="BS5" s="411"/>
      <c r="BT5" s="411"/>
      <c r="BU5" s="411"/>
      <c r="BV5" s="411"/>
      <c r="BW5" s="411"/>
      <c r="BX5" s="411"/>
      <c r="BY5" s="411"/>
      <c r="BZ5" s="411"/>
      <c r="CA5" s="411"/>
      <c r="CB5" s="411"/>
    </row>
    <row r="6" spans="1:80" s="451" customFormat="1">
      <c r="A6" s="462" t="s">
        <v>23</v>
      </c>
      <c r="B6" s="463"/>
      <c r="C6" s="464"/>
      <c r="D6" s="412"/>
      <c r="E6" s="465"/>
      <c r="F6" s="466"/>
      <c r="G6" s="413"/>
      <c r="H6" s="463"/>
      <c r="I6" s="464"/>
      <c r="J6" s="412"/>
      <c r="K6" s="465"/>
      <c r="L6" s="466"/>
      <c r="M6" s="413"/>
      <c r="N6" s="463"/>
      <c r="O6" s="464"/>
      <c r="P6" s="412"/>
      <c r="Q6" s="465"/>
      <c r="R6" s="466"/>
      <c r="S6" s="413"/>
      <c r="T6" s="463"/>
      <c r="U6" s="464"/>
      <c r="V6" s="412"/>
      <c r="W6" s="465"/>
      <c r="X6" s="466"/>
      <c r="Y6" s="413"/>
      <c r="Z6" s="463"/>
      <c r="AA6" s="464"/>
      <c r="AB6" s="412"/>
      <c r="AC6" s="465"/>
      <c r="AD6" s="466"/>
      <c r="AE6" s="413"/>
      <c r="AF6" s="463"/>
      <c r="AG6" s="464"/>
      <c r="AH6" s="412"/>
      <c r="AI6" s="465"/>
      <c r="AJ6" s="466"/>
      <c r="AK6" s="413"/>
      <c r="AL6" s="463"/>
      <c r="AM6" s="464"/>
      <c r="AN6" s="412"/>
      <c r="AO6" s="465"/>
      <c r="AP6" s="466"/>
      <c r="AQ6" s="413"/>
      <c r="AR6" s="463"/>
      <c r="AS6" s="464"/>
      <c r="AT6" s="412"/>
      <c r="AU6" s="467"/>
      <c r="AV6" s="466"/>
      <c r="AW6" s="413"/>
      <c r="AX6" s="543"/>
      <c r="AY6" s="544"/>
    </row>
    <row r="7" spans="1:80" s="451" customFormat="1">
      <c r="A7" s="468" t="s">
        <v>24</v>
      </c>
      <c r="B7" s="469">
        <f ca="1">บช.น.!$B$7</f>
        <v>0</v>
      </c>
      <c r="C7" s="470">
        <f ca="1">บช.น.!$C$7</f>
        <v>0</v>
      </c>
      <c r="D7" s="415">
        <f ca="1">B7*3</f>
        <v>0</v>
      </c>
      <c r="E7" s="471">
        <f ca="1">ภ.1!$B$7</f>
        <v>0</v>
      </c>
      <c r="F7" s="472">
        <f ca="1">ภ.1!$C$7</f>
        <v>0</v>
      </c>
      <c r="G7" s="416">
        <f ca="1">E7*3</f>
        <v>0</v>
      </c>
      <c r="H7" s="469">
        <f ca="1">ภ.2!$B$7</f>
        <v>0</v>
      </c>
      <c r="I7" s="470">
        <f ca="1">ภ.2!$C$7</f>
        <v>0</v>
      </c>
      <c r="J7" s="415">
        <f ca="1">H7*3</f>
        <v>0</v>
      </c>
      <c r="K7" s="471">
        <f ca="1">ภ.3!$B$7</f>
        <v>0</v>
      </c>
      <c r="L7" s="472">
        <f ca="1">ภ.3!$C$7</f>
        <v>0</v>
      </c>
      <c r="M7" s="416">
        <f ca="1">K7*3</f>
        <v>0</v>
      </c>
      <c r="N7" s="469">
        <f ca="1">ภ.4!$B$7</f>
        <v>0</v>
      </c>
      <c r="O7" s="470">
        <f ca="1">ภ.4!$C$7</f>
        <v>0</v>
      </c>
      <c r="P7" s="415">
        <f ca="1">N7*3</f>
        <v>0</v>
      </c>
      <c r="Q7" s="471">
        <f ca="1">ภ.5!$B$7</f>
        <v>0</v>
      </c>
      <c r="R7" s="472">
        <f ca="1">ภ.5!$C$7</f>
        <v>0</v>
      </c>
      <c r="S7" s="416">
        <f ca="1">Q7*3</f>
        <v>0</v>
      </c>
      <c r="T7" s="469">
        <f ca="1">ภ.6!$B$7</f>
        <v>1</v>
      </c>
      <c r="U7" s="470">
        <f ca="1">ภ.6!$C$7</f>
        <v>6</v>
      </c>
      <c r="V7" s="415">
        <f ca="1">T7*3</f>
        <v>3</v>
      </c>
      <c r="W7" s="471">
        <f ca="1">ภ.7!$B$7</f>
        <v>2</v>
      </c>
      <c r="X7" s="472">
        <f ca="1">ภ.7!$C$7</f>
        <v>45</v>
      </c>
      <c r="Y7" s="416">
        <f ca="1">W7*3</f>
        <v>6</v>
      </c>
      <c r="Z7" s="469">
        <f ca="1">ภ.8!$B$7</f>
        <v>0</v>
      </c>
      <c r="AA7" s="470">
        <f ca="1">ภ.8!$C$7</f>
        <v>0</v>
      </c>
      <c r="AB7" s="415">
        <f ca="1">Z7*3</f>
        <v>0</v>
      </c>
      <c r="AC7" s="471">
        <f ca="1">ภ.9!$B$7</f>
        <v>0</v>
      </c>
      <c r="AD7" s="472">
        <f ca="1">ภ.9!$C$7</f>
        <v>0</v>
      </c>
      <c r="AE7" s="416">
        <f ca="1">AC7*3</f>
        <v>0</v>
      </c>
      <c r="AF7" s="469">
        <f ca="1">บช.ก.!$C$7</f>
        <v>0</v>
      </c>
      <c r="AG7" s="470">
        <f ca="1">บช.ก.!$D$7</f>
        <v>0</v>
      </c>
      <c r="AH7" s="415">
        <f ca="1">AF7*3</f>
        <v>0</v>
      </c>
      <c r="AI7" s="471">
        <f ca="1">บช.สอท.!$B$7</f>
        <v>0</v>
      </c>
      <c r="AJ7" s="472">
        <f ca="1">บช.สอท.!$C$7</f>
        <v>0</v>
      </c>
      <c r="AK7" s="416">
        <f ca="1">AI7*3</f>
        <v>0</v>
      </c>
      <c r="AL7" s="469">
        <f ca="1">บช.ปส.!$B$7</f>
        <v>0</v>
      </c>
      <c r="AM7" s="470">
        <f ca="1">บช.ปส.!$C$7</f>
        <v>0</v>
      </c>
      <c r="AN7" s="415">
        <f ca="1">AL7*3</f>
        <v>0</v>
      </c>
      <c r="AO7" s="471">
        <f ca="1">สตม.!$B$7</f>
        <v>0</v>
      </c>
      <c r="AP7" s="472">
        <f ca="1">สตม.!$C$7</f>
        <v>0</v>
      </c>
      <c r="AQ7" s="416">
        <f ca="1">AO7*3</f>
        <v>0</v>
      </c>
      <c r="AR7" s="469">
        <f ca="1">บช.ทท.!$B$7</f>
        <v>0</v>
      </c>
      <c r="AS7" s="470">
        <f ca="1">บช.ทท.!$C$7</f>
        <v>0</v>
      </c>
      <c r="AT7" s="415">
        <f ca="1">AR7*3</f>
        <v>0</v>
      </c>
      <c r="AU7" s="416">
        <f ca="1">บช.ตชด.!$B$7</f>
        <v>0</v>
      </c>
      <c r="AV7" s="472">
        <f ca="1">บช.ตชด.!$C$7</f>
        <v>0</v>
      </c>
      <c r="AW7" s="416">
        <f ca="1">AU7*3</f>
        <v>0</v>
      </c>
      <c r="AX7" s="473">
        <f ca="1">SUM(B7,E7,H7,K7,N7,Q7,T7,W7,Z7,AC7,AF7,AI7,AL7,AO7,AR7,AU7)</f>
        <v>3</v>
      </c>
      <c r="AY7" s="474">
        <f ca="1">SUM(C7,F7,I7,L7,O7,R7,U7,X7,AA7,AD7,AG7,AJ7,AM7,AP7,AS7,AV7)</f>
        <v>51</v>
      </c>
      <c r="AZ7" s="475"/>
      <c r="BA7" s="475"/>
      <c r="BB7" s="475"/>
      <c r="BC7" s="475"/>
      <c r="BD7" s="475"/>
      <c r="BE7" s="475"/>
      <c r="BF7" s="475"/>
      <c r="BG7" s="475"/>
      <c r="BH7" s="475"/>
      <c r="BI7" s="475"/>
      <c r="BJ7" s="475"/>
      <c r="BK7" s="475"/>
      <c r="BL7" s="475"/>
      <c r="BM7" s="475"/>
      <c r="BN7" s="475"/>
      <c r="BO7" s="475"/>
      <c r="BP7" s="475"/>
      <c r="BQ7" s="475"/>
      <c r="BR7" s="475"/>
      <c r="BS7" s="475"/>
      <c r="BT7" s="475"/>
      <c r="BU7" s="475"/>
      <c r="BV7" s="475"/>
      <c r="BW7" s="475"/>
      <c r="BX7" s="475"/>
      <c r="BY7" s="475"/>
      <c r="BZ7" s="475"/>
      <c r="CA7" s="475"/>
      <c r="CB7" s="475"/>
    </row>
    <row r="8" spans="1:80" s="451" customFormat="1">
      <c r="A8" s="468" t="s">
        <v>25</v>
      </c>
      <c r="B8" s="469">
        <f>บช.น.!$B$8</f>
        <v>0</v>
      </c>
      <c r="C8" s="470">
        <f>บช.น.!$C$8</f>
        <v>0</v>
      </c>
      <c r="D8" s="415"/>
      <c r="E8" s="471">
        <f>ภ.1!$B$8</f>
        <v>0</v>
      </c>
      <c r="F8" s="472">
        <f>ภ.1!$C$8</f>
        <v>0</v>
      </c>
      <c r="G8" s="416"/>
      <c r="H8" s="469">
        <f>ภ.2!$B$8</f>
        <v>0</v>
      </c>
      <c r="I8" s="470">
        <f>ภ.2!$C$8</f>
        <v>0</v>
      </c>
      <c r="J8" s="415"/>
      <c r="K8" s="471">
        <f>ภ.3!$B$8</f>
        <v>0</v>
      </c>
      <c r="L8" s="472">
        <f>ภ.3!$C$8</f>
        <v>0</v>
      </c>
      <c r="M8" s="416"/>
      <c r="N8" s="469">
        <f>ภ.4!$B$8</f>
        <v>0</v>
      </c>
      <c r="O8" s="470">
        <f>ภ.4!$C$8</f>
        <v>0</v>
      </c>
      <c r="P8" s="415"/>
      <c r="Q8" s="471">
        <f>ภ.5!$B$8</f>
        <v>0</v>
      </c>
      <c r="R8" s="472">
        <f>ภ.5!$C$8</f>
        <v>0</v>
      </c>
      <c r="S8" s="416"/>
      <c r="T8" s="469">
        <f>ภ.6!$B$8</f>
        <v>0</v>
      </c>
      <c r="U8" s="470">
        <f>ภ.6!$C$8</f>
        <v>0</v>
      </c>
      <c r="V8" s="415"/>
      <c r="W8" s="471">
        <f>ภ.7!$B$8</f>
        <v>0</v>
      </c>
      <c r="X8" s="472">
        <f>ภ.7!$C$8</f>
        <v>0</v>
      </c>
      <c r="Y8" s="416"/>
      <c r="Z8" s="469">
        <f>ภ.8!$B$8</f>
        <v>0</v>
      </c>
      <c r="AA8" s="470">
        <f>ภ.8!$C$8</f>
        <v>0</v>
      </c>
      <c r="AB8" s="415"/>
      <c r="AC8" s="471">
        <f>ภ.9!$B$8</f>
        <v>0</v>
      </c>
      <c r="AD8" s="472">
        <f>ภ.9!$C$8</f>
        <v>0</v>
      </c>
      <c r="AE8" s="416"/>
      <c r="AF8" s="469">
        <f>บช.ก.!$C$8</f>
        <v>0</v>
      </c>
      <c r="AG8" s="470">
        <f>บช.ก.!$D$8</f>
        <v>0</v>
      </c>
      <c r="AH8" s="415"/>
      <c r="AI8" s="471">
        <f>บช.สอท.!$B$8</f>
        <v>0</v>
      </c>
      <c r="AJ8" s="472">
        <f>บช.สอท.!$C$8</f>
        <v>0</v>
      </c>
      <c r="AK8" s="416"/>
      <c r="AL8" s="469">
        <f>บช.ปส.!$B$8</f>
        <v>0</v>
      </c>
      <c r="AM8" s="470">
        <f>บช.ปส.!$C$8</f>
        <v>0</v>
      </c>
      <c r="AN8" s="415"/>
      <c r="AO8" s="471">
        <f>สตม.!$B$8</f>
        <v>0</v>
      </c>
      <c r="AP8" s="472">
        <f>สตม.!$C$8</f>
        <v>0</v>
      </c>
      <c r="AQ8" s="416"/>
      <c r="AR8" s="469">
        <f>บช.ทท.!$B$8</f>
        <v>0</v>
      </c>
      <c r="AS8" s="470">
        <f>บช.ทท.!$C$8</f>
        <v>0</v>
      </c>
      <c r="AT8" s="415"/>
      <c r="AU8" s="416">
        <f>บช.ตชด.!$B$8</f>
        <v>0</v>
      </c>
      <c r="AV8" s="472">
        <f>บช.ตชด.!$C$8</f>
        <v>0</v>
      </c>
      <c r="AW8" s="416"/>
      <c r="AX8" s="473">
        <f t="shared" ref="AX8:AY14" si="0">SUM(B8,E8,H8,K8,N8,Q8,T8,W8,Z8,AC8,AF8,AI8,AL8,AO8,AR8,AU8)</f>
        <v>0</v>
      </c>
      <c r="AY8" s="474">
        <f t="shared" si="0"/>
        <v>0</v>
      </c>
      <c r="AZ8" s="475"/>
      <c r="BA8" s="475"/>
      <c r="BB8" s="475"/>
      <c r="BC8" s="475"/>
      <c r="BD8" s="475"/>
      <c r="BE8" s="475"/>
      <c r="BF8" s="475"/>
      <c r="BG8" s="475"/>
      <c r="BH8" s="475"/>
      <c r="BI8" s="475"/>
      <c r="BJ8" s="475"/>
      <c r="BK8" s="475"/>
      <c r="BL8" s="475"/>
      <c r="BM8" s="475"/>
      <c r="BN8" s="475"/>
      <c r="BO8" s="475"/>
      <c r="BP8" s="475"/>
      <c r="BQ8" s="475"/>
      <c r="BR8" s="475"/>
      <c r="BS8" s="475"/>
      <c r="BT8" s="475"/>
      <c r="BU8" s="475"/>
      <c r="BV8" s="475"/>
      <c r="BW8" s="475"/>
      <c r="BX8" s="475"/>
      <c r="BY8" s="475"/>
      <c r="BZ8" s="475"/>
      <c r="CA8" s="475"/>
      <c r="CB8" s="475"/>
    </row>
    <row r="9" spans="1:80" s="451" customFormat="1">
      <c r="A9" s="468" t="s">
        <v>26</v>
      </c>
      <c r="B9" s="469">
        <f ca="1">บช.น.!$B$9</f>
        <v>0</v>
      </c>
      <c r="C9" s="470">
        <f ca="1">บช.น.!$C$9</f>
        <v>0</v>
      </c>
      <c r="D9" s="415">
        <f ca="1">B9*2</f>
        <v>0</v>
      </c>
      <c r="E9" s="471">
        <f ca="1">ภ.1!$B$9</f>
        <v>0</v>
      </c>
      <c r="F9" s="472">
        <f ca="1">ภ.1!$C$9</f>
        <v>0</v>
      </c>
      <c r="G9" s="416">
        <f ca="1">E9*2</f>
        <v>0</v>
      </c>
      <c r="H9" s="469">
        <f ca="1">ภ.2!$B$9</f>
        <v>0</v>
      </c>
      <c r="I9" s="470">
        <f ca="1">ภ.2!$C$9</f>
        <v>0</v>
      </c>
      <c r="J9" s="415">
        <f ca="1">H9*2</f>
        <v>0</v>
      </c>
      <c r="K9" s="471">
        <f ca="1">ภ.3!$B$9</f>
        <v>0</v>
      </c>
      <c r="L9" s="472">
        <f ca="1">ภ.3!$C$9</f>
        <v>0</v>
      </c>
      <c r="M9" s="416">
        <f ca="1">K9*2</f>
        <v>0</v>
      </c>
      <c r="N9" s="469">
        <f ca="1">ภ.4!$B$9</f>
        <v>27</v>
      </c>
      <c r="O9" s="470">
        <f ca="1">ภ.4!$C$9</f>
        <v>27</v>
      </c>
      <c r="P9" s="415">
        <f ca="1">N9*2</f>
        <v>54</v>
      </c>
      <c r="Q9" s="471">
        <f ca="1">ภ.5!$B$9</f>
        <v>0</v>
      </c>
      <c r="R9" s="472">
        <f ca="1">ภ.5!$C$9</f>
        <v>0</v>
      </c>
      <c r="S9" s="416">
        <f ca="1">Q9*2</f>
        <v>0</v>
      </c>
      <c r="T9" s="469">
        <f ca="1">ภ.6!$B$9</f>
        <v>0</v>
      </c>
      <c r="U9" s="470">
        <f ca="1">ภ.6!$C$9</f>
        <v>0</v>
      </c>
      <c r="V9" s="415">
        <f ca="1">T9*2</f>
        <v>0</v>
      </c>
      <c r="W9" s="471">
        <f ca="1">ภ.7!$B$9</f>
        <v>1</v>
      </c>
      <c r="X9" s="472">
        <f ca="1">ภ.7!$C$9</f>
        <v>1</v>
      </c>
      <c r="Y9" s="416">
        <f ca="1">W9*2</f>
        <v>2</v>
      </c>
      <c r="Z9" s="469">
        <f ca="1">ภ.8!$B$9</f>
        <v>0</v>
      </c>
      <c r="AA9" s="470">
        <f ca="1">ภ.8!$C$9</f>
        <v>0</v>
      </c>
      <c r="AB9" s="415">
        <f ca="1">Z9*2</f>
        <v>0</v>
      </c>
      <c r="AC9" s="471">
        <f ca="1">ภ.9!$B$9</f>
        <v>2</v>
      </c>
      <c r="AD9" s="472">
        <f ca="1">ภ.9!$C$9</f>
        <v>2</v>
      </c>
      <c r="AE9" s="416">
        <f ca="1">AC9*2</f>
        <v>4</v>
      </c>
      <c r="AF9" s="469">
        <f ca="1">บช.ก.!$C$9</f>
        <v>0</v>
      </c>
      <c r="AG9" s="470">
        <f ca="1">บช.ก.!$D$9</f>
        <v>0</v>
      </c>
      <c r="AH9" s="415">
        <f ca="1">AF9*2</f>
        <v>0</v>
      </c>
      <c r="AI9" s="471">
        <f ca="1">บช.สอท.!$B$9</f>
        <v>2</v>
      </c>
      <c r="AJ9" s="472">
        <f ca="1">บช.สอท.!$C$9</f>
        <v>2</v>
      </c>
      <c r="AK9" s="416">
        <f ca="1">AI9*2</f>
        <v>4</v>
      </c>
      <c r="AL9" s="469">
        <f ca="1">บช.ปส.!$B$9</f>
        <v>0</v>
      </c>
      <c r="AM9" s="470">
        <f ca="1">บช.ปส.!$C$9</f>
        <v>0</v>
      </c>
      <c r="AN9" s="415">
        <f ca="1">AL9*2</f>
        <v>0</v>
      </c>
      <c r="AO9" s="471">
        <f ca="1">สตม.!$B$9</f>
        <v>0</v>
      </c>
      <c r="AP9" s="472">
        <f ca="1">สตม.!$C$9</f>
        <v>0</v>
      </c>
      <c r="AQ9" s="416">
        <f ca="1">AO9*2</f>
        <v>0</v>
      </c>
      <c r="AR9" s="469">
        <f ca="1">บช.ทท.!$B$9</f>
        <v>1</v>
      </c>
      <c r="AS9" s="470">
        <f ca="1">บช.ทท.!$C$9</f>
        <v>1</v>
      </c>
      <c r="AT9" s="415">
        <f ca="1">AR9*2</f>
        <v>2</v>
      </c>
      <c r="AU9" s="416">
        <f ca="1">บช.ตชด.!$B$9</f>
        <v>0</v>
      </c>
      <c r="AV9" s="472">
        <f ca="1">บช.ตชด.!$C$9</f>
        <v>0</v>
      </c>
      <c r="AW9" s="416">
        <f ca="1">AU9*2</f>
        <v>0</v>
      </c>
      <c r="AX9" s="473">
        <f t="shared" ca="1" si="0"/>
        <v>33</v>
      </c>
      <c r="AY9" s="474">
        <f t="shared" ca="1" si="0"/>
        <v>33</v>
      </c>
      <c r="AZ9" s="475"/>
      <c r="BA9" s="475"/>
      <c r="BB9" s="475"/>
      <c r="BC9" s="475"/>
      <c r="BD9" s="475"/>
      <c r="BE9" s="475"/>
      <c r="BF9" s="475"/>
      <c r="BG9" s="475"/>
      <c r="BH9" s="475"/>
      <c r="BI9" s="475"/>
      <c r="BJ9" s="475"/>
      <c r="BK9" s="475"/>
      <c r="BL9" s="475"/>
      <c r="BM9" s="475"/>
      <c r="BN9" s="475"/>
      <c r="BO9" s="475"/>
      <c r="BP9" s="475"/>
      <c r="BQ9" s="475"/>
      <c r="BR9" s="475"/>
      <c r="BS9" s="475"/>
      <c r="BT9" s="475"/>
      <c r="BU9" s="475"/>
      <c r="BV9" s="475"/>
      <c r="BW9" s="475"/>
      <c r="BX9" s="475"/>
      <c r="BY9" s="475"/>
      <c r="BZ9" s="475"/>
      <c r="CA9" s="475"/>
      <c r="CB9" s="475"/>
    </row>
    <row r="10" spans="1:80" s="451" customFormat="1">
      <c r="A10" s="468" t="s">
        <v>27</v>
      </c>
      <c r="B10" s="469">
        <f ca="1">บช.น.!$B$10</f>
        <v>2</v>
      </c>
      <c r="C10" s="470">
        <f ca="1">บช.น.!$C$10</f>
        <v>2</v>
      </c>
      <c r="D10" s="415">
        <f ca="1">B10*0.5</f>
        <v>1</v>
      </c>
      <c r="E10" s="471">
        <f ca="1">ภ.1!$B$10</f>
        <v>86</v>
      </c>
      <c r="F10" s="472">
        <f ca="1">ภ.1!$C$10</f>
        <v>87</v>
      </c>
      <c r="G10" s="416">
        <f ca="1">E10*0.5</f>
        <v>43</v>
      </c>
      <c r="H10" s="469">
        <f ca="1">ภ.2!$B$10</f>
        <v>208</v>
      </c>
      <c r="I10" s="470">
        <f ca="1">ภ.2!$C$10</f>
        <v>208</v>
      </c>
      <c r="J10" s="415">
        <f ca="1">H10*0.5</f>
        <v>104</v>
      </c>
      <c r="K10" s="471">
        <f ca="1">ภ.3!$B$10</f>
        <v>76</v>
      </c>
      <c r="L10" s="472">
        <f ca="1">ภ.3!$C$10</f>
        <v>76</v>
      </c>
      <c r="M10" s="416">
        <f ca="1">K10*0.5</f>
        <v>38</v>
      </c>
      <c r="N10" s="469">
        <f ca="1">ภ.4!$B$10</f>
        <v>108</v>
      </c>
      <c r="O10" s="470">
        <f ca="1">ภ.4!$C$10</f>
        <v>108</v>
      </c>
      <c r="P10" s="415">
        <f ca="1">N10*0.5</f>
        <v>54</v>
      </c>
      <c r="Q10" s="471">
        <f ca="1">ภ.5!$B$10</f>
        <v>3</v>
      </c>
      <c r="R10" s="472">
        <f ca="1">ภ.5!$C$10</f>
        <v>3</v>
      </c>
      <c r="S10" s="416">
        <f ca="1">Q10*0.5</f>
        <v>1.5</v>
      </c>
      <c r="T10" s="469">
        <f ca="1">ภ.6!$B$10</f>
        <v>3</v>
      </c>
      <c r="U10" s="470">
        <f ca="1">ภ.6!$C$10</f>
        <v>3</v>
      </c>
      <c r="V10" s="415">
        <f ca="1">T10*0.5</f>
        <v>1.5</v>
      </c>
      <c r="W10" s="471">
        <f ca="1">ภ.7!$B$10</f>
        <v>53</v>
      </c>
      <c r="X10" s="472">
        <f ca="1">ภ.7!$C$10</f>
        <v>53</v>
      </c>
      <c r="Y10" s="416">
        <f ca="1">W10*0.5</f>
        <v>26.5</v>
      </c>
      <c r="Z10" s="469">
        <f ca="1">ภ.8!$B$10</f>
        <v>20</v>
      </c>
      <c r="AA10" s="470">
        <f ca="1">ภ.8!$C$10</f>
        <v>19</v>
      </c>
      <c r="AB10" s="415">
        <f ca="1">Z10*0.5</f>
        <v>10</v>
      </c>
      <c r="AC10" s="471">
        <f ca="1">ภ.9!$B$10</f>
        <v>3</v>
      </c>
      <c r="AD10" s="472">
        <f ca="1">ภ.9!$C$10</f>
        <v>3</v>
      </c>
      <c r="AE10" s="416">
        <f ca="1">AC10*0.5</f>
        <v>1.5</v>
      </c>
      <c r="AF10" s="469">
        <f ca="1">บช.ก.!$C$10</f>
        <v>3</v>
      </c>
      <c r="AG10" s="470">
        <f ca="1">บช.ก.!$D$10</f>
        <v>6</v>
      </c>
      <c r="AH10" s="415">
        <f ca="1">AF10*0.5</f>
        <v>1.5</v>
      </c>
      <c r="AI10" s="471">
        <f ca="1">บช.สอท.!$B$10</f>
        <v>17</v>
      </c>
      <c r="AJ10" s="472">
        <f ca="1">บช.สอท.!$C$10</f>
        <v>17</v>
      </c>
      <c r="AK10" s="416">
        <f ca="1">AI10*0.5</f>
        <v>8.5</v>
      </c>
      <c r="AL10" s="469">
        <f ca="1">บช.ปส.!$B$10</f>
        <v>0</v>
      </c>
      <c r="AM10" s="470">
        <f ca="1">บช.ปส.!$C$10</f>
        <v>0</v>
      </c>
      <c r="AN10" s="415">
        <f ca="1">AL10*0.5</f>
        <v>0</v>
      </c>
      <c r="AO10" s="471">
        <f ca="1">สตม.!$B$10</f>
        <v>0</v>
      </c>
      <c r="AP10" s="472">
        <f ca="1">สตม.!$C$10</f>
        <v>0</v>
      </c>
      <c r="AQ10" s="416">
        <f ca="1">AO10*0.5</f>
        <v>0</v>
      </c>
      <c r="AR10" s="469">
        <f ca="1">บช.ทท.!$B$10</f>
        <v>0</v>
      </c>
      <c r="AS10" s="470">
        <f ca="1">บช.ทท.!$C$10</f>
        <v>0</v>
      </c>
      <c r="AT10" s="415">
        <f ca="1">AR10*0.5</f>
        <v>0</v>
      </c>
      <c r="AU10" s="416">
        <f ca="1">บช.ตชด.!$B$10</f>
        <v>0</v>
      </c>
      <c r="AV10" s="472">
        <f ca="1">บช.ตชด.!$C$10</f>
        <v>0</v>
      </c>
      <c r="AW10" s="416">
        <f ca="1">AU10*0.5</f>
        <v>0</v>
      </c>
      <c r="AX10" s="473">
        <f t="shared" ca="1" si="0"/>
        <v>582</v>
      </c>
      <c r="AY10" s="474">
        <f t="shared" ca="1" si="0"/>
        <v>585</v>
      </c>
      <c r="AZ10" s="475"/>
      <c r="BA10" s="475"/>
      <c r="BB10" s="475"/>
      <c r="BC10" s="475"/>
      <c r="BD10" s="475"/>
      <c r="BE10" s="475"/>
      <c r="BF10" s="475"/>
      <c r="BG10" s="475"/>
      <c r="BH10" s="475"/>
      <c r="BI10" s="475"/>
      <c r="BJ10" s="475"/>
      <c r="BK10" s="475"/>
      <c r="BL10" s="475"/>
      <c r="BM10" s="475"/>
      <c r="BN10" s="475"/>
      <c r="BO10" s="475"/>
      <c r="BP10" s="475"/>
      <c r="BQ10" s="475"/>
      <c r="BR10" s="475"/>
      <c r="BS10" s="475"/>
      <c r="BT10" s="475"/>
      <c r="BU10" s="475"/>
      <c r="BV10" s="475"/>
      <c r="BW10" s="475"/>
      <c r="BX10" s="475"/>
      <c r="BY10" s="475"/>
      <c r="BZ10" s="475"/>
      <c r="CA10" s="475"/>
      <c r="CB10" s="475"/>
    </row>
    <row r="11" spans="1:80" s="451" customFormat="1">
      <c r="A11" s="468" t="s">
        <v>28</v>
      </c>
      <c r="B11" s="469">
        <f>บช.น.!$B$11</f>
        <v>0</v>
      </c>
      <c r="C11" s="470">
        <f>บช.น.!$C$11</f>
        <v>0</v>
      </c>
      <c r="D11" s="415"/>
      <c r="E11" s="471">
        <f>ภ.1!$B$11</f>
        <v>0</v>
      </c>
      <c r="F11" s="472">
        <f>ภ.1!$C$11</f>
        <v>0</v>
      </c>
      <c r="G11" s="416"/>
      <c r="H11" s="469">
        <f>ภ.2!$B$11</f>
        <v>0</v>
      </c>
      <c r="I11" s="470">
        <f>ภ.2!$C$11</f>
        <v>0</v>
      </c>
      <c r="J11" s="415"/>
      <c r="K11" s="471">
        <f>ภ.3!$B$11</f>
        <v>0</v>
      </c>
      <c r="L11" s="472">
        <f>ภ.3!$C$11</f>
        <v>0</v>
      </c>
      <c r="M11" s="416"/>
      <c r="N11" s="469">
        <f>ภ.4!$B$11</f>
        <v>0</v>
      </c>
      <c r="O11" s="470">
        <f>ภ.4!$C$11</f>
        <v>0</v>
      </c>
      <c r="P11" s="415"/>
      <c r="Q11" s="471">
        <f>ภ.5!$B$11</f>
        <v>0</v>
      </c>
      <c r="R11" s="472">
        <f>ภ.5!$C$11</f>
        <v>0</v>
      </c>
      <c r="S11" s="416"/>
      <c r="T11" s="469">
        <f>ภ.6!$B$11</f>
        <v>0</v>
      </c>
      <c r="U11" s="470">
        <f>ภ.6!$C$11</f>
        <v>0</v>
      </c>
      <c r="V11" s="415"/>
      <c r="W11" s="471">
        <f>ภ.7!$B$11</f>
        <v>0</v>
      </c>
      <c r="X11" s="472">
        <f>ภ.7!$C$11</f>
        <v>0</v>
      </c>
      <c r="Y11" s="416"/>
      <c r="Z11" s="469">
        <f>ภ.8!$B$11</f>
        <v>0</v>
      </c>
      <c r="AA11" s="470">
        <f>ภ.8!$C$11</f>
        <v>0</v>
      </c>
      <c r="AB11" s="415"/>
      <c r="AC11" s="471">
        <f>ภ.9!$B$11</f>
        <v>0</v>
      </c>
      <c r="AD11" s="472">
        <f>ภ.9!$C$11</f>
        <v>0</v>
      </c>
      <c r="AE11" s="416"/>
      <c r="AF11" s="469">
        <f>บช.ก.!$C$11</f>
        <v>0</v>
      </c>
      <c r="AG11" s="470">
        <f>บช.ก.!$D$11</f>
        <v>0</v>
      </c>
      <c r="AH11" s="415"/>
      <c r="AI11" s="471">
        <f>บช.สอท.!$B$11</f>
        <v>0</v>
      </c>
      <c r="AJ11" s="472">
        <f>บช.สอท.!$C$11</f>
        <v>0</v>
      </c>
      <c r="AK11" s="416"/>
      <c r="AL11" s="469">
        <f>บช.ปส.!$B$11</f>
        <v>0</v>
      </c>
      <c r="AM11" s="470">
        <f>บช.ปส.!$C$11</f>
        <v>0</v>
      </c>
      <c r="AN11" s="415"/>
      <c r="AO11" s="471">
        <f>สตม.!$B$11</f>
        <v>0</v>
      </c>
      <c r="AP11" s="472">
        <f>สตม.!$C$11</f>
        <v>0</v>
      </c>
      <c r="AQ11" s="416"/>
      <c r="AR11" s="469">
        <f>บช.ทท.!$B$11</f>
        <v>0</v>
      </c>
      <c r="AS11" s="470">
        <f>บช.ทท.!$C$11</f>
        <v>0</v>
      </c>
      <c r="AT11" s="415"/>
      <c r="AU11" s="416">
        <f>บช.ตชด.!$B$11</f>
        <v>0</v>
      </c>
      <c r="AV11" s="472">
        <f>บช.ตชด.!$C$11</f>
        <v>0</v>
      </c>
      <c r="AW11" s="416"/>
      <c r="AX11" s="473">
        <f t="shared" si="0"/>
        <v>0</v>
      </c>
      <c r="AY11" s="474">
        <f t="shared" si="0"/>
        <v>0</v>
      </c>
      <c r="AZ11" s="475"/>
      <c r="BA11" s="475"/>
      <c r="BB11" s="475"/>
      <c r="BC11" s="475"/>
      <c r="BD11" s="475"/>
      <c r="BE11" s="475"/>
      <c r="BF11" s="475"/>
      <c r="BG11" s="475"/>
      <c r="BH11" s="475"/>
      <c r="BI11" s="475"/>
      <c r="BJ11" s="475"/>
      <c r="BK11" s="475"/>
      <c r="BL11" s="475"/>
      <c r="BM11" s="475"/>
      <c r="BN11" s="475"/>
      <c r="BO11" s="475"/>
      <c r="BP11" s="475"/>
      <c r="BQ11" s="475"/>
      <c r="BR11" s="475"/>
      <c r="BS11" s="475"/>
      <c r="BT11" s="475"/>
      <c r="BU11" s="475"/>
      <c r="BV11" s="475"/>
      <c r="BW11" s="475"/>
      <c r="BX11" s="475"/>
      <c r="BY11" s="475"/>
      <c r="BZ11" s="475"/>
      <c r="CA11" s="475"/>
      <c r="CB11" s="475"/>
    </row>
    <row r="12" spans="1:80" s="451" customFormat="1">
      <c r="A12" s="468" t="s">
        <v>29</v>
      </c>
      <c r="B12" s="469">
        <f ca="1">บช.น.!$B$12</f>
        <v>2</v>
      </c>
      <c r="C12" s="470">
        <f ca="1">บช.น.!$C$12</f>
        <v>8</v>
      </c>
      <c r="D12" s="415">
        <f ca="1">B12*2</f>
        <v>4</v>
      </c>
      <c r="E12" s="471">
        <f ca="1">ภ.1!$B$12</f>
        <v>0</v>
      </c>
      <c r="F12" s="472">
        <f ca="1">ภ.1!$C$12</f>
        <v>0</v>
      </c>
      <c r="G12" s="416">
        <f ca="1">E12*2</f>
        <v>0</v>
      </c>
      <c r="H12" s="469">
        <f ca="1">ภ.2!$B$12</f>
        <v>2</v>
      </c>
      <c r="I12" s="470">
        <f ca="1">ภ.2!$C$12</f>
        <v>6</v>
      </c>
      <c r="J12" s="415">
        <f ca="1">H12*2</f>
        <v>4</v>
      </c>
      <c r="K12" s="471">
        <f ca="1">ภ.3!$B$12</f>
        <v>0</v>
      </c>
      <c r="L12" s="472">
        <f ca="1">ภ.3!$C$12</f>
        <v>0</v>
      </c>
      <c r="M12" s="416">
        <f ca="1">K12*2</f>
        <v>0</v>
      </c>
      <c r="N12" s="469">
        <f ca="1">ภ.4!$B$12</f>
        <v>2</v>
      </c>
      <c r="O12" s="470">
        <f ca="1">ภ.4!$C$12</f>
        <v>2</v>
      </c>
      <c r="P12" s="415">
        <f ca="1">N12*2</f>
        <v>4</v>
      </c>
      <c r="Q12" s="471">
        <f ca="1">ภ.5!$B$12</f>
        <v>0</v>
      </c>
      <c r="R12" s="472">
        <f ca="1">ภ.5!$C$12</f>
        <v>0</v>
      </c>
      <c r="S12" s="416">
        <f ca="1">Q12*2</f>
        <v>0</v>
      </c>
      <c r="T12" s="469">
        <f ca="1">ภ.6!$B$12</f>
        <v>0</v>
      </c>
      <c r="U12" s="470">
        <f ca="1">ภ.6!$C$12</f>
        <v>0</v>
      </c>
      <c r="V12" s="415">
        <f ca="1">T12*2</f>
        <v>0</v>
      </c>
      <c r="W12" s="471">
        <f ca="1">ภ.7!$B$12</f>
        <v>0</v>
      </c>
      <c r="X12" s="472">
        <f ca="1">ภ.7!$C$12</f>
        <v>0</v>
      </c>
      <c r="Y12" s="416">
        <f ca="1">W12*2</f>
        <v>0</v>
      </c>
      <c r="Z12" s="469">
        <f ca="1">ภ.8!$B$12</f>
        <v>0</v>
      </c>
      <c r="AA12" s="470">
        <f ca="1">ภ.8!$C$12</f>
        <v>0</v>
      </c>
      <c r="AB12" s="415">
        <f ca="1">Z12*2</f>
        <v>0</v>
      </c>
      <c r="AC12" s="471">
        <f ca="1">ภ.9!$B$12</f>
        <v>4</v>
      </c>
      <c r="AD12" s="472">
        <f ca="1">ภ.9!$C$12</f>
        <v>5</v>
      </c>
      <c r="AE12" s="416">
        <f ca="1">AC12*2</f>
        <v>8</v>
      </c>
      <c r="AF12" s="469">
        <f ca="1">บช.ก.!$C$12</f>
        <v>0</v>
      </c>
      <c r="AG12" s="470">
        <f ca="1">บช.ก.!$D$12</f>
        <v>0</v>
      </c>
      <c r="AH12" s="415">
        <f ca="1">AF12*2</f>
        <v>0</v>
      </c>
      <c r="AI12" s="471">
        <f ca="1">บช.สอท.!$B$12</f>
        <v>6</v>
      </c>
      <c r="AJ12" s="472">
        <f ca="1">บช.สอท.!$C$12</f>
        <v>10</v>
      </c>
      <c r="AK12" s="416">
        <f ca="1">AI12*2</f>
        <v>12</v>
      </c>
      <c r="AL12" s="469">
        <f ca="1">บช.ปส.!$B$12</f>
        <v>1</v>
      </c>
      <c r="AM12" s="470">
        <f ca="1">บช.ปส.!$C$12</f>
        <v>2</v>
      </c>
      <c r="AN12" s="415">
        <f ca="1">AL12*2</f>
        <v>2</v>
      </c>
      <c r="AO12" s="471">
        <f ca="1">สตม.!$B$12</f>
        <v>2</v>
      </c>
      <c r="AP12" s="472">
        <f ca="1">สตม.!$C$12</f>
        <v>2</v>
      </c>
      <c r="AQ12" s="416">
        <f ca="1">AO12*2</f>
        <v>4</v>
      </c>
      <c r="AR12" s="469">
        <f ca="1">บช.ทท.!$B$12</f>
        <v>1</v>
      </c>
      <c r="AS12" s="470">
        <f ca="1">บช.ทท.!$C$12</f>
        <v>1</v>
      </c>
      <c r="AT12" s="415">
        <f ca="1">AR12*2</f>
        <v>2</v>
      </c>
      <c r="AU12" s="416">
        <f ca="1">บช.ตชด.!$B$12</f>
        <v>0</v>
      </c>
      <c r="AV12" s="472">
        <f ca="1">บช.ตชด.!$C$12</f>
        <v>0</v>
      </c>
      <c r="AW12" s="416">
        <f ca="1">AU12*2</f>
        <v>0</v>
      </c>
      <c r="AX12" s="473">
        <f t="shared" ca="1" si="0"/>
        <v>20</v>
      </c>
      <c r="AY12" s="474">
        <f t="shared" ca="1" si="0"/>
        <v>36</v>
      </c>
      <c r="AZ12" s="475"/>
      <c r="BA12" s="475"/>
      <c r="BB12" s="475"/>
      <c r="BC12" s="475"/>
      <c r="BD12" s="475"/>
      <c r="BE12" s="475"/>
      <c r="BF12" s="475"/>
      <c r="BG12" s="475"/>
      <c r="BH12" s="475"/>
      <c r="BI12" s="475"/>
      <c r="BJ12" s="475"/>
      <c r="BK12" s="475"/>
      <c r="BL12" s="475"/>
      <c r="BM12" s="475"/>
      <c r="BN12" s="475"/>
      <c r="BO12" s="475"/>
      <c r="BP12" s="475"/>
      <c r="BQ12" s="475"/>
      <c r="BR12" s="475"/>
      <c r="BS12" s="475"/>
      <c r="BT12" s="475"/>
      <c r="BU12" s="475"/>
      <c r="BV12" s="475"/>
      <c r="BW12" s="475"/>
      <c r="BX12" s="475"/>
      <c r="BY12" s="475"/>
      <c r="BZ12" s="475"/>
      <c r="CA12" s="475"/>
      <c r="CB12" s="475"/>
    </row>
    <row r="13" spans="1:80" s="451" customFormat="1">
      <c r="A13" s="468" t="s">
        <v>30</v>
      </c>
      <c r="B13" s="469">
        <f ca="1">บช.น.!$B$13</f>
        <v>38</v>
      </c>
      <c r="C13" s="470">
        <f ca="1">บช.น.!$C$13</f>
        <v>38</v>
      </c>
      <c r="D13" s="415">
        <f ca="1">B13*0.5</f>
        <v>19</v>
      </c>
      <c r="E13" s="471">
        <f ca="1">ภ.1!$B$13</f>
        <v>93</v>
      </c>
      <c r="F13" s="472">
        <f ca="1">ภ.1!$C$13</f>
        <v>99</v>
      </c>
      <c r="G13" s="416">
        <f ca="1">E13*0.5</f>
        <v>46.5</v>
      </c>
      <c r="H13" s="469">
        <f ca="1">ภ.2!$B$13</f>
        <v>18</v>
      </c>
      <c r="I13" s="470">
        <f ca="1">ภ.2!$C$13</f>
        <v>22</v>
      </c>
      <c r="J13" s="415">
        <f ca="1">H13*0.5</f>
        <v>9</v>
      </c>
      <c r="K13" s="471">
        <f ca="1">ภ.3!$B$13</f>
        <v>53</v>
      </c>
      <c r="L13" s="472">
        <f ca="1">ภ.3!$C$13</f>
        <v>53</v>
      </c>
      <c r="M13" s="416">
        <f ca="1">K13*0.5</f>
        <v>26.5</v>
      </c>
      <c r="N13" s="469">
        <f ca="1">ภ.4!$B$13</f>
        <v>49</v>
      </c>
      <c r="O13" s="470">
        <f ca="1">ภ.4!$C$13</f>
        <v>49</v>
      </c>
      <c r="P13" s="415">
        <f ca="1">N13*0.5</f>
        <v>24.5</v>
      </c>
      <c r="Q13" s="471">
        <f ca="1">ภ.5!$B$13</f>
        <v>2</v>
      </c>
      <c r="R13" s="472">
        <f ca="1">ภ.5!$C$13</f>
        <v>2</v>
      </c>
      <c r="S13" s="416">
        <f ca="1">Q13*0.5</f>
        <v>1</v>
      </c>
      <c r="T13" s="469">
        <f ca="1">ภ.6!$B$13</f>
        <v>4</v>
      </c>
      <c r="U13" s="470">
        <f ca="1">ภ.6!$C$13</f>
        <v>4</v>
      </c>
      <c r="V13" s="415">
        <f ca="1">T13*0.5</f>
        <v>2</v>
      </c>
      <c r="W13" s="471">
        <f ca="1">ภ.7!$B$13</f>
        <v>23</v>
      </c>
      <c r="X13" s="472">
        <f ca="1">ภ.7!$C$13</f>
        <v>23</v>
      </c>
      <c r="Y13" s="416">
        <f ca="1">W13*0.5</f>
        <v>11.5</v>
      </c>
      <c r="Z13" s="469">
        <f ca="1">ภ.8!$B$13</f>
        <v>3</v>
      </c>
      <c r="AA13" s="470">
        <f ca="1">ภ.8!$C$13</f>
        <v>3</v>
      </c>
      <c r="AB13" s="415">
        <f ca="1">Z13*0.5</f>
        <v>1.5</v>
      </c>
      <c r="AC13" s="471">
        <f ca="1">ภ.9!$B$13</f>
        <v>3</v>
      </c>
      <c r="AD13" s="472">
        <f ca="1">ภ.9!$C$13</f>
        <v>6</v>
      </c>
      <c r="AE13" s="416">
        <f ca="1">AC13*0.5</f>
        <v>1.5</v>
      </c>
      <c r="AF13" s="469">
        <f ca="1">บช.ก.!$C$13</f>
        <v>5</v>
      </c>
      <c r="AG13" s="470">
        <f ca="1">บช.ก.!$D$13</f>
        <v>5</v>
      </c>
      <c r="AH13" s="415">
        <f ca="1">AF13*0.5</f>
        <v>2.5</v>
      </c>
      <c r="AI13" s="471">
        <f ca="1">บช.สอท.!$B$13</f>
        <v>14</v>
      </c>
      <c r="AJ13" s="472">
        <f ca="1">บช.สอท.!$C$13</f>
        <v>20</v>
      </c>
      <c r="AK13" s="416">
        <f ca="1">AI13*0.5</f>
        <v>7</v>
      </c>
      <c r="AL13" s="469">
        <f ca="1">บช.ปส.!$B$13</f>
        <v>0</v>
      </c>
      <c r="AM13" s="470">
        <f ca="1">บช.ปส.!$C$13</f>
        <v>0</v>
      </c>
      <c r="AN13" s="415">
        <f ca="1">AL13*0.5</f>
        <v>0</v>
      </c>
      <c r="AO13" s="471">
        <f ca="1">สตม.!$B$13</f>
        <v>2</v>
      </c>
      <c r="AP13" s="472">
        <f ca="1">สตม.!$C$13</f>
        <v>2</v>
      </c>
      <c r="AQ13" s="416">
        <f ca="1">AO13*0.5</f>
        <v>1</v>
      </c>
      <c r="AR13" s="469">
        <f ca="1">บช.ทท.!$B$13</f>
        <v>1</v>
      </c>
      <c r="AS13" s="470">
        <f ca="1">บช.ทท.!$C$13</f>
        <v>1</v>
      </c>
      <c r="AT13" s="415">
        <f ca="1">AR13*0.5</f>
        <v>0.5</v>
      </c>
      <c r="AU13" s="416">
        <f ca="1">บช.ตชด.!$B$13</f>
        <v>0</v>
      </c>
      <c r="AV13" s="472">
        <f ca="1">บช.ตชด.!$C$13</f>
        <v>0</v>
      </c>
      <c r="AW13" s="416">
        <f ca="1">AU13*0.5</f>
        <v>0</v>
      </c>
      <c r="AX13" s="473">
        <f t="shared" ca="1" si="0"/>
        <v>308</v>
      </c>
      <c r="AY13" s="474">
        <f t="shared" ca="1" si="0"/>
        <v>327</v>
      </c>
      <c r="AZ13" s="475"/>
      <c r="BA13" s="475"/>
      <c r="BB13" s="475"/>
      <c r="BC13" s="475"/>
      <c r="BD13" s="475"/>
      <c r="BE13" s="475"/>
      <c r="BF13" s="475"/>
      <c r="BG13" s="475"/>
      <c r="BH13" s="475"/>
      <c r="BI13" s="475"/>
      <c r="BJ13" s="475"/>
      <c r="BK13" s="475"/>
      <c r="BL13" s="475"/>
      <c r="BM13" s="475"/>
      <c r="BN13" s="475"/>
      <c r="BO13" s="475"/>
      <c r="BP13" s="475"/>
      <c r="BQ13" s="475"/>
      <c r="BR13" s="475"/>
      <c r="BS13" s="475"/>
      <c r="BT13" s="475"/>
      <c r="BU13" s="475"/>
      <c r="BV13" s="475"/>
      <c r="BW13" s="475"/>
      <c r="BX13" s="475"/>
      <c r="BY13" s="475"/>
      <c r="BZ13" s="475"/>
      <c r="CA13" s="475"/>
      <c r="CB13" s="475"/>
    </row>
    <row r="14" spans="1:80" s="451" customFormat="1" ht="28.5" thickBot="1">
      <c r="A14" s="468" t="s">
        <v>31</v>
      </c>
      <c r="B14" s="469">
        <f ca="1">บช.น.!$B$14</f>
        <v>29</v>
      </c>
      <c r="C14" s="470">
        <f ca="1">บช.น.!$C$14</f>
        <v>67</v>
      </c>
      <c r="D14" s="415">
        <f ca="1">B14*3</f>
        <v>87</v>
      </c>
      <c r="E14" s="471">
        <f ca="1">ภ.1!$B$14</f>
        <v>42</v>
      </c>
      <c r="F14" s="472">
        <f ca="1">ภ.1!$C$14</f>
        <v>156</v>
      </c>
      <c r="G14" s="416">
        <f ca="1">E14*3</f>
        <v>126</v>
      </c>
      <c r="H14" s="469">
        <f ca="1">ภ.2!$B$14</f>
        <v>99</v>
      </c>
      <c r="I14" s="470">
        <f ca="1">ภ.2!$C$14</f>
        <v>213</v>
      </c>
      <c r="J14" s="415">
        <f ca="1">H14*3</f>
        <v>297</v>
      </c>
      <c r="K14" s="471">
        <f ca="1">ภ.3!$B$14</f>
        <v>420</v>
      </c>
      <c r="L14" s="472">
        <f ca="1">ภ.3!$C$14</f>
        <v>529</v>
      </c>
      <c r="M14" s="416">
        <f ca="1">K14*3</f>
        <v>1260</v>
      </c>
      <c r="N14" s="469">
        <f ca="1">ภ.4!$B$14</f>
        <v>469</v>
      </c>
      <c r="O14" s="470">
        <f ca="1">ภ.4!$C$14</f>
        <v>777</v>
      </c>
      <c r="P14" s="415">
        <f ca="1">N14*3</f>
        <v>1407</v>
      </c>
      <c r="Q14" s="471">
        <f ca="1">ภ.5!$B$14</f>
        <v>7</v>
      </c>
      <c r="R14" s="472">
        <f ca="1">ภ.5!$C$14</f>
        <v>27</v>
      </c>
      <c r="S14" s="416">
        <f ca="1">Q14*3</f>
        <v>21</v>
      </c>
      <c r="T14" s="469">
        <f ca="1">ภ.6!$B$14</f>
        <v>11</v>
      </c>
      <c r="U14" s="470">
        <f ca="1">ภ.6!$C$14</f>
        <v>60</v>
      </c>
      <c r="V14" s="415">
        <f ca="1">T14*3</f>
        <v>33</v>
      </c>
      <c r="W14" s="471">
        <f ca="1">ภ.7!$B$14</f>
        <v>27</v>
      </c>
      <c r="X14" s="472">
        <f ca="1">ภ.7!$C$14</f>
        <v>85</v>
      </c>
      <c r="Y14" s="416">
        <f ca="1">W14*3</f>
        <v>81</v>
      </c>
      <c r="Z14" s="469">
        <f ca="1">ภ.8!$B$14</f>
        <v>81</v>
      </c>
      <c r="AA14" s="470">
        <f ca="1">ภ.8!$C$14</f>
        <v>190</v>
      </c>
      <c r="AB14" s="415">
        <f ca="1">Z14*3</f>
        <v>243</v>
      </c>
      <c r="AC14" s="471">
        <f ca="1">ภ.9!$B$14</f>
        <v>16</v>
      </c>
      <c r="AD14" s="472">
        <f ca="1">ภ.9!$C$14</f>
        <v>53</v>
      </c>
      <c r="AE14" s="416">
        <f ca="1">AC14*3</f>
        <v>48</v>
      </c>
      <c r="AF14" s="469">
        <f ca="1">บช.ก.!$C$14</f>
        <v>17</v>
      </c>
      <c r="AG14" s="470">
        <f ca="1">บช.ก.!$D$14</f>
        <v>46</v>
      </c>
      <c r="AH14" s="415">
        <f ca="1">AF14*3</f>
        <v>51</v>
      </c>
      <c r="AI14" s="471">
        <f ca="1">บช.สอท.!$B$14</f>
        <v>10</v>
      </c>
      <c r="AJ14" s="472">
        <f ca="1">บช.สอท.!$C$14</f>
        <v>20</v>
      </c>
      <c r="AK14" s="416">
        <f ca="1">AI14*3</f>
        <v>30</v>
      </c>
      <c r="AL14" s="469">
        <f ca="1">บช.ปส.!$B$14</f>
        <v>0</v>
      </c>
      <c r="AM14" s="470">
        <f ca="1">บช.ปส.!$C$14</f>
        <v>0</v>
      </c>
      <c r="AN14" s="415">
        <f ca="1">AL14*3</f>
        <v>0</v>
      </c>
      <c r="AO14" s="471">
        <f ca="1">สตม.!$B$14</f>
        <v>6</v>
      </c>
      <c r="AP14" s="472">
        <f ca="1">สตม.!$C$14</f>
        <v>25</v>
      </c>
      <c r="AQ14" s="416">
        <f ca="1">AO14*3</f>
        <v>18</v>
      </c>
      <c r="AR14" s="469">
        <f ca="1">บช.ทท.!$B$14</f>
        <v>3</v>
      </c>
      <c r="AS14" s="470">
        <f ca="1">บช.ทท.!$C$14</f>
        <v>8</v>
      </c>
      <c r="AT14" s="415">
        <f ca="1">AR14*3</f>
        <v>9</v>
      </c>
      <c r="AU14" s="416">
        <f ca="1">บช.ตชด.!$B$14</f>
        <v>0</v>
      </c>
      <c r="AV14" s="472">
        <f ca="1">บช.ตชด.!$C$14</f>
        <v>0</v>
      </c>
      <c r="AW14" s="416">
        <f ca="1">AU14*3</f>
        <v>0</v>
      </c>
      <c r="AX14" s="473">
        <f t="shared" ca="1" si="0"/>
        <v>1237</v>
      </c>
      <c r="AY14" s="474">
        <f t="shared" ca="1" si="0"/>
        <v>2256</v>
      </c>
      <c r="AZ14" s="475"/>
      <c r="BA14" s="475"/>
      <c r="BB14" s="475"/>
      <c r="BC14" s="475"/>
      <c r="BD14" s="475"/>
      <c r="BE14" s="475"/>
      <c r="BF14" s="475"/>
      <c r="BG14" s="475"/>
      <c r="BH14" s="475"/>
      <c r="BI14" s="475"/>
      <c r="BJ14" s="475"/>
      <c r="BK14" s="475"/>
      <c r="BL14" s="475"/>
      <c r="BM14" s="475"/>
      <c r="BN14" s="475"/>
      <c r="BO14" s="475"/>
      <c r="BP14" s="475"/>
      <c r="BQ14" s="475"/>
      <c r="BR14" s="475"/>
      <c r="BS14" s="475"/>
      <c r="BT14" s="475"/>
      <c r="BU14" s="475"/>
      <c r="BV14" s="475"/>
      <c r="BW14" s="475"/>
      <c r="BX14" s="475"/>
      <c r="BY14" s="475"/>
      <c r="BZ14" s="475"/>
      <c r="CA14" s="475"/>
      <c r="CB14" s="475"/>
    </row>
    <row r="15" spans="1:80" s="424" customFormat="1" ht="28.5" thickBot="1">
      <c r="A15" s="417" t="s">
        <v>32</v>
      </c>
      <c r="B15" s="418">
        <f ca="1">บช.น.!$B$15</f>
        <v>71</v>
      </c>
      <c r="C15" s="419">
        <f ca="1">บช.น.!$C$15</f>
        <v>115</v>
      </c>
      <c r="D15" s="420">
        <f ca="1">SUM(D6:D14)</f>
        <v>111</v>
      </c>
      <c r="E15" s="418">
        <f ca="1">ภ.1!$B$15</f>
        <v>221</v>
      </c>
      <c r="F15" s="419">
        <f ca="1">ภ.1!$C$15</f>
        <v>342</v>
      </c>
      <c r="G15" s="420">
        <f ca="1">SUM(G6:G14)</f>
        <v>215.5</v>
      </c>
      <c r="H15" s="418">
        <f ca="1">ภ.2!$B$15</f>
        <v>327</v>
      </c>
      <c r="I15" s="419">
        <f ca="1">ภ.2!$C$15</f>
        <v>449</v>
      </c>
      <c r="J15" s="420">
        <f ca="1">SUM(J6:J14)</f>
        <v>414</v>
      </c>
      <c r="K15" s="418">
        <f ca="1">ภ.3!$B$15</f>
        <v>549</v>
      </c>
      <c r="L15" s="419">
        <f ca="1">ภ.3!$C$15</f>
        <v>658</v>
      </c>
      <c r="M15" s="420">
        <f ca="1">SUM(M6:M14)</f>
        <v>1324.5</v>
      </c>
      <c r="N15" s="418">
        <f ca="1">ภ.4!$B$15</f>
        <v>655</v>
      </c>
      <c r="O15" s="419">
        <f ca="1">ภ.4!$C$15</f>
        <v>963</v>
      </c>
      <c r="P15" s="420">
        <f ca="1">SUM(P6:P14)</f>
        <v>1543.5</v>
      </c>
      <c r="Q15" s="418">
        <f ca="1">ภ.5!$B$15</f>
        <v>12</v>
      </c>
      <c r="R15" s="419">
        <f ca="1">ภ.5!$C$15</f>
        <v>32</v>
      </c>
      <c r="S15" s="420">
        <f ca="1">SUM(S6:S14)</f>
        <v>23.5</v>
      </c>
      <c r="T15" s="418">
        <f ca="1">ภ.6!$B$15</f>
        <v>19</v>
      </c>
      <c r="U15" s="419">
        <f ca="1">ภ.6!$C$15</f>
        <v>73</v>
      </c>
      <c r="V15" s="420">
        <f ca="1">SUM(V6:V14)</f>
        <v>39.5</v>
      </c>
      <c r="W15" s="418">
        <f ca="1">ภ.7!$B$15</f>
        <v>106</v>
      </c>
      <c r="X15" s="419">
        <f ca="1">ภ.7!$C$15</f>
        <v>207</v>
      </c>
      <c r="Y15" s="420">
        <f ca="1">SUM(Y6:Y14)</f>
        <v>127</v>
      </c>
      <c r="Z15" s="418">
        <f ca="1">ภ.8!$B$15</f>
        <v>104</v>
      </c>
      <c r="AA15" s="419">
        <f ca="1">ภ.8!$C$15</f>
        <v>212</v>
      </c>
      <c r="AB15" s="420">
        <f ca="1">SUM(AB6:AB14)</f>
        <v>254.5</v>
      </c>
      <c r="AC15" s="418">
        <f ca="1">ภ.9!$B$15</f>
        <v>28</v>
      </c>
      <c r="AD15" s="419">
        <f ca="1">ภ.9!$C$15</f>
        <v>69</v>
      </c>
      <c r="AE15" s="420">
        <f ca="1">SUM(AE6:AE14)</f>
        <v>63</v>
      </c>
      <c r="AF15" s="418">
        <f ca="1">บช.ก.!$C$15</f>
        <v>25</v>
      </c>
      <c r="AG15" s="419">
        <f ca="1">บช.ก.!$D$15</f>
        <v>57</v>
      </c>
      <c r="AH15" s="420">
        <f ca="1">SUM(AH6:AH14)</f>
        <v>55</v>
      </c>
      <c r="AI15" s="418">
        <f ca="1">บช.สอท.!$B$15</f>
        <v>49</v>
      </c>
      <c r="AJ15" s="419">
        <f ca="1">บช.สอท.!$C$15</f>
        <v>69</v>
      </c>
      <c r="AK15" s="420">
        <f ca="1">SUM(AK6:AK14)</f>
        <v>61.5</v>
      </c>
      <c r="AL15" s="418">
        <f ca="1">บช.ปส.!$B$15</f>
        <v>1</v>
      </c>
      <c r="AM15" s="419">
        <f ca="1">บช.ปส.!$C$15</f>
        <v>2</v>
      </c>
      <c r="AN15" s="420">
        <f ca="1">SUM(AN6:AN14)</f>
        <v>2</v>
      </c>
      <c r="AO15" s="418">
        <f ca="1">สตม.!$B$15</f>
        <v>10</v>
      </c>
      <c r="AP15" s="419">
        <f ca="1">สตม.!$C$15</f>
        <v>29</v>
      </c>
      <c r="AQ15" s="420">
        <f ca="1">SUM(AQ6:AQ14)</f>
        <v>23</v>
      </c>
      <c r="AR15" s="418">
        <f ca="1">บช.ทท.!$B$15</f>
        <v>6</v>
      </c>
      <c r="AS15" s="419">
        <f ca="1">บช.ทท.!$C$15</f>
        <v>11</v>
      </c>
      <c r="AT15" s="420">
        <f ca="1">SUM(AT6:AT14)</f>
        <v>13.5</v>
      </c>
      <c r="AU15" s="421">
        <f ca="1">บช.ตชด.!$B$15</f>
        <v>0</v>
      </c>
      <c r="AV15" s="419">
        <f ca="1">บช.ตชด.!$C$15</f>
        <v>0</v>
      </c>
      <c r="AW15" s="422">
        <f ca="1">SUM(AW6:AW14)</f>
        <v>0</v>
      </c>
      <c r="AX15" s="456">
        <f ca="1">SUM(AX7:AX14)</f>
        <v>2183</v>
      </c>
      <c r="AY15" s="457">
        <f ca="1">SUM(AY7:AY14)</f>
        <v>3288</v>
      </c>
      <c r="AZ15" s="423"/>
      <c r="BA15" s="423"/>
      <c r="BB15" s="423"/>
      <c r="BC15" s="423"/>
      <c r="BD15" s="423"/>
      <c r="BE15" s="423"/>
      <c r="BF15" s="423"/>
      <c r="BG15" s="423"/>
      <c r="BH15" s="423"/>
      <c r="BI15" s="423"/>
      <c r="BJ15" s="423"/>
      <c r="BK15" s="423"/>
      <c r="BL15" s="423"/>
      <c r="BM15" s="423"/>
      <c r="BN15" s="423"/>
      <c r="BO15" s="423"/>
      <c r="BP15" s="423"/>
      <c r="BQ15" s="423"/>
      <c r="BR15" s="423"/>
      <c r="BS15" s="423"/>
      <c r="BT15" s="423"/>
      <c r="BU15" s="423"/>
      <c r="BV15" s="423"/>
      <c r="BW15" s="423"/>
      <c r="BX15" s="423"/>
      <c r="BY15" s="423"/>
      <c r="BZ15" s="423"/>
      <c r="CA15" s="423"/>
      <c r="CB15" s="423"/>
    </row>
    <row r="16" spans="1:80" s="451" customFormat="1" ht="28.5" thickBot="1">
      <c r="A16" s="462" t="s">
        <v>33</v>
      </c>
      <c r="B16" s="476"/>
      <c r="C16" s="477"/>
      <c r="D16" s="425"/>
      <c r="E16" s="478"/>
      <c r="F16" s="479"/>
      <c r="G16" s="426"/>
      <c r="H16" s="476"/>
      <c r="I16" s="477"/>
      <c r="J16" s="425"/>
      <c r="K16" s="478"/>
      <c r="L16" s="479"/>
      <c r="M16" s="426"/>
      <c r="N16" s="476"/>
      <c r="O16" s="477"/>
      <c r="P16" s="425"/>
      <c r="Q16" s="478"/>
      <c r="R16" s="479"/>
      <c r="S16" s="426"/>
      <c r="T16" s="476"/>
      <c r="U16" s="477"/>
      <c r="V16" s="425"/>
      <c r="W16" s="478"/>
      <c r="X16" s="479"/>
      <c r="Y16" s="426"/>
      <c r="Z16" s="476"/>
      <c r="AA16" s="477"/>
      <c r="AB16" s="425"/>
      <c r="AC16" s="478"/>
      <c r="AD16" s="479"/>
      <c r="AE16" s="426"/>
      <c r="AF16" s="476"/>
      <c r="AG16" s="477"/>
      <c r="AH16" s="425"/>
      <c r="AI16" s="478"/>
      <c r="AJ16" s="479"/>
      <c r="AK16" s="426"/>
      <c r="AL16" s="476"/>
      <c r="AM16" s="477"/>
      <c r="AN16" s="425"/>
      <c r="AO16" s="478"/>
      <c r="AP16" s="479"/>
      <c r="AQ16" s="426"/>
      <c r="AR16" s="476"/>
      <c r="AS16" s="477"/>
      <c r="AT16" s="425"/>
      <c r="AU16" s="426"/>
      <c r="AV16" s="479"/>
      <c r="AW16" s="426"/>
      <c r="AX16" s="545"/>
      <c r="AY16" s="546"/>
      <c r="AZ16" s="480"/>
      <c r="BA16" s="480"/>
      <c r="BB16" s="480"/>
      <c r="BC16" s="480"/>
      <c r="BD16" s="480"/>
      <c r="BE16" s="480"/>
      <c r="BF16" s="480"/>
      <c r="BG16" s="480"/>
      <c r="BH16" s="480"/>
      <c r="BI16" s="480"/>
      <c r="BJ16" s="480"/>
      <c r="BK16" s="480"/>
      <c r="BL16" s="480"/>
      <c r="BM16" s="480"/>
      <c r="BN16" s="480"/>
      <c r="BO16" s="480"/>
      <c r="BP16" s="480"/>
      <c r="BQ16" s="480"/>
      <c r="BR16" s="480"/>
      <c r="BS16" s="480"/>
      <c r="BT16" s="480"/>
      <c r="BU16" s="480"/>
      <c r="BV16" s="480"/>
      <c r="BW16" s="480"/>
      <c r="BX16" s="480"/>
      <c r="BY16" s="480"/>
      <c r="BZ16" s="480"/>
      <c r="CA16" s="480"/>
      <c r="CB16" s="480"/>
    </row>
    <row r="17" spans="1:80" s="451" customFormat="1">
      <c r="A17" s="468" t="s">
        <v>34</v>
      </c>
      <c r="B17" s="469">
        <f ca="1">บช.น.!$B$17</f>
        <v>1</v>
      </c>
      <c r="C17" s="470">
        <f ca="1">บช.น.!$C$17</f>
        <v>1</v>
      </c>
      <c r="D17" s="415">
        <f t="shared" ref="D17:D19" ca="1" si="1">B17*5</f>
        <v>5</v>
      </c>
      <c r="E17" s="471">
        <f ca="1">ภ.1!$B$17</f>
        <v>30</v>
      </c>
      <c r="F17" s="472">
        <f ca="1">ภ.1!$C$17</f>
        <v>30</v>
      </c>
      <c r="G17" s="416">
        <f t="shared" ref="G17:G19" ca="1" si="2">E17*5</f>
        <v>150</v>
      </c>
      <c r="H17" s="469">
        <f ca="1">ภ.2!$B$17</f>
        <v>28</v>
      </c>
      <c r="I17" s="470">
        <f ca="1">ภ.2!$C$17</f>
        <v>28</v>
      </c>
      <c r="J17" s="415">
        <f t="shared" ref="J17:J19" ca="1" si="3">H17*5</f>
        <v>140</v>
      </c>
      <c r="K17" s="471">
        <f ca="1">ภ.3!$B$17</f>
        <v>25</v>
      </c>
      <c r="L17" s="472">
        <f ca="1">ภ.3!$C$17</f>
        <v>25</v>
      </c>
      <c r="M17" s="416">
        <f t="shared" ref="M17:M19" ca="1" si="4">K17*5</f>
        <v>125</v>
      </c>
      <c r="N17" s="469">
        <f ca="1">ภ.4!$B$17</f>
        <v>97</v>
      </c>
      <c r="O17" s="470">
        <f ca="1">ภ.4!$C$17</f>
        <v>96</v>
      </c>
      <c r="P17" s="415">
        <f t="shared" ref="P17:P19" ca="1" si="5">N17*5</f>
        <v>485</v>
      </c>
      <c r="Q17" s="471">
        <f ca="1">ภ.5!$B$17</f>
        <v>77</v>
      </c>
      <c r="R17" s="472">
        <f ca="1">ภ.5!$C$17</f>
        <v>14</v>
      </c>
      <c r="S17" s="416">
        <f t="shared" ref="S17:S19" ca="1" si="6">Q17*5</f>
        <v>385</v>
      </c>
      <c r="T17" s="469">
        <f ca="1">ภ.6!$B$17</f>
        <v>3</v>
      </c>
      <c r="U17" s="470">
        <f ca="1">ภ.6!$C$17</f>
        <v>3</v>
      </c>
      <c r="V17" s="415">
        <f t="shared" ref="V17:V19" ca="1" si="7">T17*5</f>
        <v>15</v>
      </c>
      <c r="W17" s="471">
        <f ca="1">ภ.7!$B$17</f>
        <v>12</v>
      </c>
      <c r="X17" s="472">
        <f ca="1">ภ.7!$C$17</f>
        <v>12</v>
      </c>
      <c r="Y17" s="416">
        <f t="shared" ref="Y17:Y19" ca="1" si="8">W17*5</f>
        <v>60</v>
      </c>
      <c r="Z17" s="469">
        <f ca="1">ภ.8!$B$17</f>
        <v>37</v>
      </c>
      <c r="AA17" s="470">
        <f ca="1">ภ.8!$C$17</f>
        <v>38</v>
      </c>
      <c r="AB17" s="415">
        <f t="shared" ref="AB17:AB19" ca="1" si="9">Z17*5</f>
        <v>185</v>
      </c>
      <c r="AC17" s="471">
        <f ca="1">ภ.9!$B$17</f>
        <v>7</v>
      </c>
      <c r="AD17" s="472">
        <f ca="1">ภ.9!$C$17</f>
        <v>7</v>
      </c>
      <c r="AE17" s="416">
        <f t="shared" ref="AE17:AE19" ca="1" si="10">AC17*5</f>
        <v>35</v>
      </c>
      <c r="AF17" s="469">
        <f ca="1">บช.ก.!$C$17</f>
        <v>4</v>
      </c>
      <c r="AG17" s="470">
        <f ca="1">บช.ก.!$D$17</f>
        <v>5</v>
      </c>
      <c r="AH17" s="415">
        <f t="shared" ref="AH17:AH19" ca="1" si="11">AF17*5</f>
        <v>20</v>
      </c>
      <c r="AI17" s="471">
        <f ca="1">บช.สอท.!$B$17</f>
        <v>2</v>
      </c>
      <c r="AJ17" s="472">
        <f ca="1">บช.สอท.!$C$17</f>
        <v>2</v>
      </c>
      <c r="AK17" s="416">
        <f t="shared" ref="AK17:AK19" ca="1" si="12">AI17*5</f>
        <v>10</v>
      </c>
      <c r="AL17" s="469">
        <f ca="1">บช.ปส.!$B$17</f>
        <v>0</v>
      </c>
      <c r="AM17" s="470">
        <f ca="1">บช.ปส.!$C$17</f>
        <v>0</v>
      </c>
      <c r="AN17" s="415">
        <f t="shared" ref="AN17:AN19" ca="1" si="13">AL17*5</f>
        <v>0</v>
      </c>
      <c r="AO17" s="471">
        <f ca="1">สตม.!$B$17</f>
        <v>7</v>
      </c>
      <c r="AP17" s="472">
        <f ca="1">สตม.!$C$17</f>
        <v>8</v>
      </c>
      <c r="AQ17" s="416">
        <f t="shared" ref="AQ17:AQ19" ca="1" si="14">AO17*5</f>
        <v>35</v>
      </c>
      <c r="AR17" s="469">
        <f ca="1">บช.ทท.!$B$17</f>
        <v>6</v>
      </c>
      <c r="AS17" s="470">
        <f ca="1">บช.ทท.!$C$17</f>
        <v>6</v>
      </c>
      <c r="AT17" s="415">
        <f t="shared" ref="AT17:AT19" ca="1" si="15">AR17*5</f>
        <v>30</v>
      </c>
      <c r="AU17" s="416">
        <f ca="1">บช.ตชด.!$B$17</f>
        <v>0</v>
      </c>
      <c r="AV17" s="472">
        <f ca="1">บช.ตชด.!$C$17</f>
        <v>0</v>
      </c>
      <c r="AW17" s="416">
        <f t="shared" ref="AW17:AW19" ca="1" si="16">AU17*5</f>
        <v>0</v>
      </c>
      <c r="AX17" s="481">
        <f ca="1">SUM(B17,E17,H17,K17,N17,Q17,T17,W17,Z17,AC17,AF17,AI17,AL17,AO17,AR17,AU17)</f>
        <v>336</v>
      </c>
      <c r="AY17" s="482">
        <f ca="1">SUM(C17,F17,I17,L17,O17,R17,U17,X17,AA17,AD17,AG17,AJ17,AM17,AP17,AS17,AV17)</f>
        <v>275</v>
      </c>
      <c r="AZ17" s="483"/>
      <c r="BA17" s="483"/>
      <c r="BB17" s="483"/>
      <c r="BC17" s="483"/>
      <c r="BD17" s="483"/>
      <c r="BE17" s="483"/>
      <c r="BF17" s="483"/>
      <c r="BG17" s="483"/>
      <c r="BH17" s="483"/>
      <c r="BI17" s="483"/>
      <c r="BJ17" s="483"/>
      <c r="BK17" s="483"/>
      <c r="BL17" s="483"/>
      <c r="BM17" s="483"/>
      <c r="BN17" s="483"/>
      <c r="BO17" s="483"/>
      <c r="BP17" s="483"/>
      <c r="BQ17" s="483"/>
      <c r="BR17" s="483"/>
      <c r="BS17" s="483"/>
      <c r="BT17" s="483"/>
      <c r="BU17" s="483"/>
      <c r="BV17" s="483"/>
      <c r="BW17" s="483"/>
      <c r="BX17" s="483"/>
      <c r="BY17" s="483"/>
      <c r="BZ17" s="483"/>
      <c r="CA17" s="483"/>
      <c r="CB17" s="483"/>
    </row>
    <row r="18" spans="1:80" s="451" customFormat="1">
      <c r="A18" s="468" t="s">
        <v>35</v>
      </c>
      <c r="B18" s="469">
        <f ca="1">บช.น.!$B$18</f>
        <v>0</v>
      </c>
      <c r="C18" s="470">
        <f ca="1">บช.น.!$C$18</f>
        <v>0</v>
      </c>
      <c r="D18" s="415">
        <f t="shared" ca="1" si="1"/>
        <v>0</v>
      </c>
      <c r="E18" s="471">
        <f ca="1">ภ.1!$B$18</f>
        <v>0</v>
      </c>
      <c r="F18" s="472">
        <f ca="1">ภ.1!$C$18</f>
        <v>0</v>
      </c>
      <c r="G18" s="416">
        <f t="shared" ca="1" si="2"/>
        <v>0</v>
      </c>
      <c r="H18" s="469">
        <f ca="1">ภ.2!$B$18</f>
        <v>0</v>
      </c>
      <c r="I18" s="470">
        <f ca="1">ภ.2!$C$18</f>
        <v>0</v>
      </c>
      <c r="J18" s="415">
        <f t="shared" ca="1" si="3"/>
        <v>0</v>
      </c>
      <c r="K18" s="471">
        <f ca="1">ภ.3!$B$18</f>
        <v>0</v>
      </c>
      <c r="L18" s="472">
        <f ca="1">ภ.3!$C$18</f>
        <v>0</v>
      </c>
      <c r="M18" s="416">
        <f t="shared" ca="1" si="4"/>
        <v>0</v>
      </c>
      <c r="N18" s="469">
        <f ca="1">ภ.4!$B$18</f>
        <v>0</v>
      </c>
      <c r="O18" s="470">
        <f ca="1">ภ.4!$C$18</f>
        <v>0</v>
      </c>
      <c r="P18" s="415">
        <f t="shared" ca="1" si="5"/>
        <v>0</v>
      </c>
      <c r="Q18" s="471">
        <f ca="1">ภ.5!$B$18</f>
        <v>0</v>
      </c>
      <c r="R18" s="472">
        <f ca="1">ภ.5!$C$18</f>
        <v>0</v>
      </c>
      <c r="S18" s="416">
        <f t="shared" ca="1" si="6"/>
        <v>0</v>
      </c>
      <c r="T18" s="469">
        <f ca="1">ภ.6!$B$18</f>
        <v>0</v>
      </c>
      <c r="U18" s="470">
        <f ca="1">ภ.6!$C$18</f>
        <v>0</v>
      </c>
      <c r="V18" s="415">
        <f t="shared" ca="1" si="7"/>
        <v>0</v>
      </c>
      <c r="W18" s="471">
        <f ca="1">ภ.7!$B$18</f>
        <v>0</v>
      </c>
      <c r="X18" s="472">
        <f ca="1">ภ.7!$C$18</f>
        <v>0</v>
      </c>
      <c r="Y18" s="416">
        <f t="shared" ca="1" si="8"/>
        <v>0</v>
      </c>
      <c r="Z18" s="469">
        <f ca="1">ภ.8!$B$18</f>
        <v>0</v>
      </c>
      <c r="AA18" s="470">
        <f ca="1">ภ.8!$C$18</f>
        <v>0</v>
      </c>
      <c r="AB18" s="415">
        <f t="shared" ca="1" si="9"/>
        <v>0</v>
      </c>
      <c r="AC18" s="471">
        <f ca="1">ภ.9!$B$18</f>
        <v>0</v>
      </c>
      <c r="AD18" s="472">
        <f ca="1">ภ.9!$C$18</f>
        <v>0</v>
      </c>
      <c r="AE18" s="416">
        <f t="shared" ca="1" si="10"/>
        <v>0</v>
      </c>
      <c r="AF18" s="469">
        <f ca="1">บช.ก.!$C$18</f>
        <v>0</v>
      </c>
      <c r="AG18" s="470">
        <f ca="1">บช.ก.!$D$18</f>
        <v>0</v>
      </c>
      <c r="AH18" s="415">
        <f t="shared" ca="1" si="11"/>
        <v>0</v>
      </c>
      <c r="AI18" s="471">
        <f ca="1">บช.สอท.!$B$18</f>
        <v>0</v>
      </c>
      <c r="AJ18" s="472">
        <f ca="1">บช.สอท.!$C$18</f>
        <v>0</v>
      </c>
      <c r="AK18" s="416">
        <f t="shared" ca="1" si="12"/>
        <v>0</v>
      </c>
      <c r="AL18" s="469">
        <f ca="1">บช.ปส.!$B$18</f>
        <v>0</v>
      </c>
      <c r="AM18" s="470">
        <f ca="1">บช.ปส.!$C$18</f>
        <v>0</v>
      </c>
      <c r="AN18" s="415">
        <f t="shared" ca="1" si="13"/>
        <v>0</v>
      </c>
      <c r="AO18" s="471">
        <f ca="1">สตม.!$B$18</f>
        <v>0</v>
      </c>
      <c r="AP18" s="472">
        <f ca="1">สตม.!$C$18</f>
        <v>0</v>
      </c>
      <c r="AQ18" s="416">
        <f t="shared" ca="1" si="14"/>
        <v>0</v>
      </c>
      <c r="AR18" s="469">
        <f ca="1">บช.ทท.!$B$18</f>
        <v>0</v>
      </c>
      <c r="AS18" s="470">
        <f ca="1">บช.ทท.!$C$18</f>
        <v>0</v>
      </c>
      <c r="AT18" s="415">
        <f t="shared" ca="1" si="15"/>
        <v>0</v>
      </c>
      <c r="AU18" s="416">
        <f ca="1">บช.ตชด.!$B$18</f>
        <v>0</v>
      </c>
      <c r="AV18" s="472">
        <f ca="1">บช.ตชด.!$C$18</f>
        <v>0</v>
      </c>
      <c r="AW18" s="416">
        <f t="shared" ca="1" si="16"/>
        <v>0</v>
      </c>
      <c r="AX18" s="473">
        <f t="shared" ref="AX18:AY23" ca="1" si="17">SUM(B18,E18,H18,K18,N18,Q18,T18,W18,Z18,AC18,AF18,AI18,AL18,AO18,AR18,AU18)</f>
        <v>0</v>
      </c>
      <c r="AY18" s="474">
        <f t="shared" ca="1" si="17"/>
        <v>0</v>
      </c>
      <c r="AZ18" s="483"/>
      <c r="BA18" s="483"/>
      <c r="BB18" s="483"/>
      <c r="BC18" s="483"/>
      <c r="BD18" s="483"/>
      <c r="BE18" s="483"/>
      <c r="BF18" s="483"/>
      <c r="BG18" s="483"/>
      <c r="BH18" s="483"/>
      <c r="BI18" s="483"/>
      <c r="BJ18" s="483"/>
      <c r="BK18" s="483"/>
      <c r="BL18" s="483"/>
      <c r="BM18" s="483"/>
      <c r="BN18" s="483"/>
      <c r="BO18" s="483"/>
      <c r="BP18" s="483"/>
      <c r="BQ18" s="483"/>
      <c r="BR18" s="483"/>
      <c r="BS18" s="483"/>
      <c r="BT18" s="483"/>
      <c r="BU18" s="483"/>
      <c r="BV18" s="483"/>
      <c r="BW18" s="483"/>
      <c r="BX18" s="483"/>
      <c r="BY18" s="483"/>
      <c r="BZ18" s="483"/>
      <c r="CA18" s="483"/>
      <c r="CB18" s="483"/>
    </row>
    <row r="19" spans="1:80" s="451" customFormat="1">
      <c r="A19" s="468" t="s">
        <v>36</v>
      </c>
      <c r="B19" s="469">
        <f ca="1">บช.น.!$B$19</f>
        <v>0</v>
      </c>
      <c r="C19" s="470">
        <f ca="1">บช.น.!$C$19</f>
        <v>0</v>
      </c>
      <c r="D19" s="415">
        <f t="shared" ca="1" si="1"/>
        <v>0</v>
      </c>
      <c r="E19" s="471">
        <f ca="1">ภ.1!$B$19</f>
        <v>0</v>
      </c>
      <c r="F19" s="472">
        <f ca="1">ภ.1!$C$19</f>
        <v>0</v>
      </c>
      <c r="G19" s="416">
        <f t="shared" ca="1" si="2"/>
        <v>0</v>
      </c>
      <c r="H19" s="469">
        <f ca="1">ภ.2!$B$19</f>
        <v>0</v>
      </c>
      <c r="I19" s="470">
        <f ca="1">ภ.2!$C$19</f>
        <v>0</v>
      </c>
      <c r="J19" s="415">
        <f t="shared" ca="1" si="3"/>
        <v>0</v>
      </c>
      <c r="K19" s="471">
        <f ca="1">ภ.3!$B$19</f>
        <v>0</v>
      </c>
      <c r="L19" s="472">
        <f ca="1">ภ.3!$C$19</f>
        <v>0</v>
      </c>
      <c r="M19" s="416">
        <f t="shared" ca="1" si="4"/>
        <v>0</v>
      </c>
      <c r="N19" s="469">
        <f ca="1">ภ.4!$B$19</f>
        <v>0</v>
      </c>
      <c r="O19" s="470">
        <f ca="1">ภ.4!$C$19</f>
        <v>0</v>
      </c>
      <c r="P19" s="415">
        <f t="shared" ca="1" si="5"/>
        <v>0</v>
      </c>
      <c r="Q19" s="471">
        <f ca="1">ภ.5!$B$19</f>
        <v>0</v>
      </c>
      <c r="R19" s="472">
        <f ca="1">ภ.5!$C$19</f>
        <v>0</v>
      </c>
      <c r="S19" s="416">
        <f t="shared" ca="1" si="6"/>
        <v>0</v>
      </c>
      <c r="T19" s="469">
        <f ca="1">ภ.6!$B$19</f>
        <v>0</v>
      </c>
      <c r="U19" s="470">
        <f ca="1">ภ.6!$C$19</f>
        <v>0</v>
      </c>
      <c r="V19" s="415">
        <f t="shared" ca="1" si="7"/>
        <v>0</v>
      </c>
      <c r="W19" s="471">
        <f ca="1">ภ.7!$B$19</f>
        <v>0</v>
      </c>
      <c r="X19" s="472">
        <f ca="1">ภ.7!$C$19</f>
        <v>0</v>
      </c>
      <c r="Y19" s="416">
        <f t="shared" ca="1" si="8"/>
        <v>0</v>
      </c>
      <c r="Z19" s="469">
        <f ca="1">ภ.8!$B$19</f>
        <v>0</v>
      </c>
      <c r="AA19" s="470">
        <f ca="1">ภ.8!$C$19</f>
        <v>0</v>
      </c>
      <c r="AB19" s="415">
        <f t="shared" ca="1" si="9"/>
        <v>0</v>
      </c>
      <c r="AC19" s="471">
        <f ca="1">ภ.9!$B$19</f>
        <v>0</v>
      </c>
      <c r="AD19" s="472">
        <f ca="1">ภ.9!$C$19</f>
        <v>0</v>
      </c>
      <c r="AE19" s="416">
        <f t="shared" ca="1" si="10"/>
        <v>0</v>
      </c>
      <c r="AF19" s="469">
        <f ca="1">บช.ก.!$C$19</f>
        <v>0</v>
      </c>
      <c r="AG19" s="470">
        <f ca="1">บช.ก.!$D$19</f>
        <v>0</v>
      </c>
      <c r="AH19" s="415">
        <f t="shared" ca="1" si="11"/>
        <v>0</v>
      </c>
      <c r="AI19" s="471">
        <f ca="1">บช.สอท.!$B$19</f>
        <v>0</v>
      </c>
      <c r="AJ19" s="472">
        <f ca="1">บช.สอท.!$C$19</f>
        <v>0</v>
      </c>
      <c r="AK19" s="416">
        <f t="shared" ca="1" si="12"/>
        <v>0</v>
      </c>
      <c r="AL19" s="469">
        <f ca="1">บช.ปส.!$B$19</f>
        <v>1</v>
      </c>
      <c r="AM19" s="470">
        <f ca="1">บช.ปส.!$C$19</f>
        <v>0</v>
      </c>
      <c r="AN19" s="415">
        <f t="shared" ca="1" si="13"/>
        <v>5</v>
      </c>
      <c r="AO19" s="471">
        <f ca="1">สตม.!$B$19</f>
        <v>0</v>
      </c>
      <c r="AP19" s="472">
        <f ca="1">สตม.!$C$19</f>
        <v>0</v>
      </c>
      <c r="AQ19" s="416">
        <f t="shared" ca="1" si="14"/>
        <v>0</v>
      </c>
      <c r="AR19" s="469">
        <f ca="1">บช.ทท.!$B$19</f>
        <v>0</v>
      </c>
      <c r="AS19" s="470">
        <f ca="1">บช.ทท.!$C$19</f>
        <v>0</v>
      </c>
      <c r="AT19" s="415">
        <f t="shared" ca="1" si="15"/>
        <v>0</v>
      </c>
      <c r="AU19" s="416">
        <f ca="1">บช.ตชด.!$B$19</f>
        <v>0</v>
      </c>
      <c r="AV19" s="472">
        <f ca="1">บช.ตชด.!$C$19</f>
        <v>0</v>
      </c>
      <c r="AW19" s="416">
        <f t="shared" ca="1" si="16"/>
        <v>0</v>
      </c>
      <c r="AX19" s="473">
        <f t="shared" ca="1" si="17"/>
        <v>1</v>
      </c>
      <c r="AY19" s="474">
        <f t="shared" ca="1" si="17"/>
        <v>0</v>
      </c>
      <c r="AZ19" s="483"/>
      <c r="BA19" s="483"/>
      <c r="BB19" s="483"/>
      <c r="BC19" s="483"/>
      <c r="BD19" s="483"/>
      <c r="BE19" s="483"/>
      <c r="BF19" s="483"/>
      <c r="BG19" s="483"/>
      <c r="BH19" s="483"/>
      <c r="BI19" s="483"/>
      <c r="BJ19" s="483"/>
      <c r="BK19" s="483"/>
      <c r="BL19" s="483"/>
      <c r="BM19" s="483"/>
      <c r="BN19" s="483"/>
      <c r="BO19" s="483"/>
      <c r="BP19" s="483"/>
      <c r="BQ19" s="483"/>
      <c r="BR19" s="483"/>
      <c r="BS19" s="483"/>
      <c r="BT19" s="483"/>
      <c r="BU19" s="483"/>
      <c r="BV19" s="483"/>
      <c r="BW19" s="483"/>
      <c r="BX19" s="483"/>
      <c r="BY19" s="483"/>
      <c r="BZ19" s="483"/>
      <c r="CA19" s="483"/>
      <c r="CB19" s="483"/>
    </row>
    <row r="20" spans="1:80" s="451" customFormat="1">
      <c r="A20" s="468" t="s">
        <v>37</v>
      </c>
      <c r="B20" s="469">
        <f ca="1">บช.น.!$B$20</f>
        <v>3</v>
      </c>
      <c r="C20" s="470">
        <f ca="1">บช.น.!$C$20</f>
        <v>3</v>
      </c>
      <c r="D20" s="415">
        <f ca="1">B20*3</f>
        <v>9</v>
      </c>
      <c r="E20" s="471">
        <f ca="1">ภ.1!$B$20</f>
        <v>26</v>
      </c>
      <c r="F20" s="472">
        <f ca="1">ภ.1!$C$20</f>
        <v>31</v>
      </c>
      <c r="G20" s="416">
        <f ca="1">E20*3</f>
        <v>78</v>
      </c>
      <c r="H20" s="469">
        <f ca="1">ภ.2!$B$20</f>
        <v>24</v>
      </c>
      <c r="I20" s="470">
        <f ca="1">ภ.2!$C$20</f>
        <v>27</v>
      </c>
      <c r="J20" s="415">
        <f ca="1">H20*3</f>
        <v>72</v>
      </c>
      <c r="K20" s="471">
        <f ca="1">ภ.3!$B$20</f>
        <v>31</v>
      </c>
      <c r="L20" s="472">
        <f ca="1">ภ.3!$C$20</f>
        <v>33</v>
      </c>
      <c r="M20" s="416">
        <f ca="1">K20*3</f>
        <v>93</v>
      </c>
      <c r="N20" s="469">
        <f ca="1">ภ.4!$B$20</f>
        <v>15</v>
      </c>
      <c r="O20" s="470">
        <f ca="1">ภ.4!$C$20</f>
        <v>18</v>
      </c>
      <c r="P20" s="415">
        <f ca="1">N20*3</f>
        <v>45</v>
      </c>
      <c r="Q20" s="471">
        <f ca="1">ภ.5!$B$20</f>
        <v>20</v>
      </c>
      <c r="R20" s="472">
        <f ca="1">ภ.5!$C$20</f>
        <v>21</v>
      </c>
      <c r="S20" s="416">
        <f ca="1">Q20*3</f>
        <v>60</v>
      </c>
      <c r="T20" s="469">
        <f ca="1">ภ.6!$B$20</f>
        <v>21</v>
      </c>
      <c r="U20" s="470">
        <f ca="1">ภ.6!$C$20</f>
        <v>24</v>
      </c>
      <c r="V20" s="415">
        <f ca="1">T20*3</f>
        <v>63</v>
      </c>
      <c r="W20" s="471">
        <f ca="1">ภ.7!$B$20</f>
        <v>15</v>
      </c>
      <c r="X20" s="472">
        <f ca="1">ภ.7!$C$20</f>
        <v>18</v>
      </c>
      <c r="Y20" s="416">
        <f ca="1">W20*3</f>
        <v>45</v>
      </c>
      <c r="Z20" s="469">
        <f ca="1">ภ.8!$B$20</f>
        <v>8</v>
      </c>
      <c r="AA20" s="470">
        <f ca="1">ภ.8!$C$20</f>
        <v>9</v>
      </c>
      <c r="AB20" s="415">
        <f ca="1">Z20*3</f>
        <v>24</v>
      </c>
      <c r="AC20" s="471">
        <f ca="1">ภ.9!$B$20</f>
        <v>3</v>
      </c>
      <c r="AD20" s="472">
        <f ca="1">ภ.9!$C$20</f>
        <v>3</v>
      </c>
      <c r="AE20" s="416">
        <f ca="1">AC20*3</f>
        <v>9</v>
      </c>
      <c r="AF20" s="469">
        <f ca="1">บช.ก.!$C$20</f>
        <v>2</v>
      </c>
      <c r="AG20" s="470">
        <f ca="1">บช.ก.!$D$20</f>
        <v>2</v>
      </c>
      <c r="AH20" s="415">
        <f ca="1">AF20*3</f>
        <v>6</v>
      </c>
      <c r="AI20" s="471">
        <f ca="1">บช.สอท.!$B$20</f>
        <v>0</v>
      </c>
      <c r="AJ20" s="472">
        <f ca="1">บช.สอท.!$C$20</f>
        <v>0</v>
      </c>
      <c r="AK20" s="416">
        <f ca="1">AI20*3</f>
        <v>0</v>
      </c>
      <c r="AL20" s="469">
        <f ca="1">บช.ปส.!$B$20</f>
        <v>2</v>
      </c>
      <c r="AM20" s="470">
        <f ca="1">บช.ปส.!$C$20</f>
        <v>2</v>
      </c>
      <c r="AN20" s="415">
        <f ca="1">AL20*3</f>
        <v>6</v>
      </c>
      <c r="AO20" s="471">
        <f ca="1">สตม.!$B$20</f>
        <v>3</v>
      </c>
      <c r="AP20" s="472">
        <f ca="1">สตม.!$C$20</f>
        <v>3</v>
      </c>
      <c r="AQ20" s="416">
        <f ca="1">AO20*3</f>
        <v>9</v>
      </c>
      <c r="AR20" s="469">
        <f ca="1">บช.ทท.!$B$20</f>
        <v>2</v>
      </c>
      <c r="AS20" s="470">
        <f ca="1">บช.ทท.!$C$20</f>
        <v>2</v>
      </c>
      <c r="AT20" s="415">
        <f ca="1">AR20*3</f>
        <v>6</v>
      </c>
      <c r="AU20" s="416">
        <f ca="1">บช.ตชด.!$B$20</f>
        <v>0</v>
      </c>
      <c r="AV20" s="472">
        <f ca="1">บช.ตชด.!$C$20</f>
        <v>0</v>
      </c>
      <c r="AW20" s="416">
        <f ca="1">AU20*3</f>
        <v>0</v>
      </c>
      <c r="AX20" s="473">
        <f t="shared" ca="1" si="17"/>
        <v>175</v>
      </c>
      <c r="AY20" s="474">
        <f t="shared" ca="1" si="17"/>
        <v>196</v>
      </c>
      <c r="AZ20" s="483"/>
      <c r="BA20" s="483"/>
      <c r="BB20" s="483"/>
      <c r="BC20" s="483"/>
      <c r="BD20" s="483"/>
      <c r="BE20" s="483"/>
      <c r="BF20" s="483"/>
      <c r="BG20" s="483"/>
      <c r="BH20" s="483"/>
      <c r="BI20" s="483"/>
      <c r="BJ20" s="483"/>
      <c r="BK20" s="483"/>
      <c r="BL20" s="483"/>
      <c r="BM20" s="483"/>
      <c r="BN20" s="483"/>
      <c r="BO20" s="483"/>
      <c r="BP20" s="483"/>
      <c r="BQ20" s="483"/>
      <c r="BR20" s="483"/>
      <c r="BS20" s="483"/>
      <c r="BT20" s="483"/>
      <c r="BU20" s="483"/>
      <c r="BV20" s="483"/>
      <c r="BW20" s="483"/>
      <c r="BX20" s="483"/>
      <c r="BY20" s="483"/>
      <c r="BZ20" s="483"/>
      <c r="CA20" s="483"/>
      <c r="CB20" s="483"/>
    </row>
    <row r="21" spans="1:80" s="451" customFormat="1">
      <c r="A21" s="468" t="s">
        <v>38</v>
      </c>
      <c r="B21" s="469">
        <f ca="1">บช.น.!$B$21</f>
        <v>47</v>
      </c>
      <c r="C21" s="470">
        <f ca="1">บช.น.!$C$21</f>
        <v>101</v>
      </c>
      <c r="D21" s="415">
        <f ca="1">B21*2</f>
        <v>94</v>
      </c>
      <c r="E21" s="471">
        <f ca="1">ภ.1!$B$21</f>
        <v>190</v>
      </c>
      <c r="F21" s="472">
        <f ca="1">ภ.1!$C$21</f>
        <v>198</v>
      </c>
      <c r="G21" s="416">
        <f ca="1">E21*2</f>
        <v>380</v>
      </c>
      <c r="H21" s="469">
        <f ca="1">ภ.2!$B$21</f>
        <v>133</v>
      </c>
      <c r="I21" s="470">
        <f ca="1">ภ.2!$C$21</f>
        <v>141</v>
      </c>
      <c r="J21" s="415">
        <f ca="1">H21*2</f>
        <v>266</v>
      </c>
      <c r="K21" s="471">
        <f ca="1">ภ.3!$B$21</f>
        <v>132</v>
      </c>
      <c r="L21" s="472">
        <f ca="1">ภ.3!$C$21</f>
        <v>141</v>
      </c>
      <c r="M21" s="416">
        <f ca="1">K21*2</f>
        <v>264</v>
      </c>
      <c r="N21" s="469">
        <f ca="1">ภ.4!$B$21</f>
        <v>508</v>
      </c>
      <c r="O21" s="470">
        <f ca="1">ภ.4!$C$21</f>
        <v>530</v>
      </c>
      <c r="P21" s="415">
        <f ca="1">N21*2</f>
        <v>1016</v>
      </c>
      <c r="Q21" s="471">
        <f ca="1">ภ.5!$B$21</f>
        <v>78</v>
      </c>
      <c r="R21" s="472">
        <f ca="1">ภ.5!$C$21</f>
        <v>54</v>
      </c>
      <c r="S21" s="416">
        <f ca="1">Q21*2</f>
        <v>156</v>
      </c>
      <c r="T21" s="469">
        <f ca="1">ภ.6!$B$21</f>
        <v>92</v>
      </c>
      <c r="U21" s="470">
        <f ca="1">ภ.6!$C$21</f>
        <v>101</v>
      </c>
      <c r="V21" s="415">
        <f ca="1">T21*2</f>
        <v>184</v>
      </c>
      <c r="W21" s="471">
        <f ca="1">ภ.7!$B$21</f>
        <v>159</v>
      </c>
      <c r="X21" s="472">
        <f ca="1">ภ.7!$C$21</f>
        <v>163</v>
      </c>
      <c r="Y21" s="416">
        <f ca="1">W21*2</f>
        <v>318</v>
      </c>
      <c r="Z21" s="469">
        <f ca="1">ภ.8!$B$21</f>
        <v>109</v>
      </c>
      <c r="AA21" s="470">
        <f ca="1">ภ.8!$C$21</f>
        <v>117</v>
      </c>
      <c r="AB21" s="415">
        <f ca="1">Z21*2</f>
        <v>218</v>
      </c>
      <c r="AC21" s="471">
        <f ca="1">ภ.9!$B$21</f>
        <v>101</v>
      </c>
      <c r="AD21" s="472">
        <f ca="1">ภ.9!$C$21</f>
        <v>112</v>
      </c>
      <c r="AE21" s="416">
        <f ca="1">AC21*2</f>
        <v>202</v>
      </c>
      <c r="AF21" s="469">
        <f ca="1">บช.ก.!$C$21</f>
        <v>81</v>
      </c>
      <c r="AG21" s="470">
        <f ca="1">บช.ก.!$D$21</f>
        <v>155</v>
      </c>
      <c r="AH21" s="415">
        <f ca="1">AF21*2</f>
        <v>162</v>
      </c>
      <c r="AI21" s="471">
        <f ca="1">บช.สอท.!$B$21</f>
        <v>10</v>
      </c>
      <c r="AJ21" s="472">
        <f ca="1">บช.สอท.!$C$21</f>
        <v>11</v>
      </c>
      <c r="AK21" s="416">
        <f ca="1">AI21*2</f>
        <v>20</v>
      </c>
      <c r="AL21" s="469">
        <f ca="1">บช.ปส.!$B$21</f>
        <v>17</v>
      </c>
      <c r="AM21" s="470">
        <f ca="1">บช.ปส.!$C$21</f>
        <v>25</v>
      </c>
      <c r="AN21" s="415">
        <f ca="1">AL21*2</f>
        <v>34</v>
      </c>
      <c r="AO21" s="471">
        <f ca="1">สตม.!$B$21</f>
        <v>58</v>
      </c>
      <c r="AP21" s="472">
        <f ca="1">สตม.!$C$21</f>
        <v>59</v>
      </c>
      <c r="AQ21" s="416">
        <f ca="1">AO21*2</f>
        <v>116</v>
      </c>
      <c r="AR21" s="469">
        <f ca="1">บช.ทท.!$B$21</f>
        <v>25</v>
      </c>
      <c r="AS21" s="470">
        <f ca="1">บช.ทท.!$C$21</f>
        <v>26</v>
      </c>
      <c r="AT21" s="415">
        <f ca="1">AR21*2</f>
        <v>50</v>
      </c>
      <c r="AU21" s="416">
        <f ca="1">บช.ตชด.!$B$21</f>
        <v>11</v>
      </c>
      <c r="AV21" s="472">
        <f ca="1">บช.ตชด.!$C$21</f>
        <v>17</v>
      </c>
      <c r="AW21" s="416">
        <f ca="1">AU21*2</f>
        <v>22</v>
      </c>
      <c r="AX21" s="473">
        <v>1752</v>
      </c>
      <c r="AY21" s="474">
        <v>1952</v>
      </c>
      <c r="AZ21" s="483"/>
      <c r="BA21" s="483"/>
      <c r="BB21" s="483"/>
      <c r="BC21" s="483"/>
      <c r="BD21" s="483"/>
      <c r="BE21" s="483"/>
      <c r="BF21" s="483"/>
      <c r="BG21" s="483"/>
      <c r="BH21" s="483"/>
      <c r="BI21" s="483"/>
      <c r="BJ21" s="483"/>
      <c r="BK21" s="483"/>
      <c r="BL21" s="483"/>
      <c r="BM21" s="483"/>
      <c r="BN21" s="483"/>
      <c r="BO21" s="483"/>
      <c r="BP21" s="483"/>
      <c r="BQ21" s="483"/>
      <c r="BR21" s="483"/>
      <c r="BS21" s="483"/>
      <c r="BT21" s="483"/>
      <c r="BU21" s="483"/>
      <c r="BV21" s="483"/>
      <c r="BW21" s="483"/>
      <c r="BX21" s="483"/>
      <c r="BY21" s="483"/>
      <c r="BZ21" s="483"/>
      <c r="CA21" s="483"/>
      <c r="CB21" s="483"/>
    </row>
    <row r="22" spans="1:80" s="451" customFormat="1">
      <c r="A22" s="468" t="s">
        <v>39</v>
      </c>
      <c r="B22" s="469">
        <f ca="1">บช.น.!$B$22</f>
        <v>32</v>
      </c>
      <c r="C22" s="470">
        <f ca="1">บช.น.!$C$22</f>
        <v>32</v>
      </c>
      <c r="D22" s="415">
        <f ca="1">B22*1</f>
        <v>32</v>
      </c>
      <c r="E22" s="471">
        <f ca="1">ภ.1!$B$22</f>
        <v>174</v>
      </c>
      <c r="F22" s="472">
        <f ca="1">ภ.1!$C$22</f>
        <v>174</v>
      </c>
      <c r="G22" s="416">
        <f ca="1">E22*1</f>
        <v>174</v>
      </c>
      <c r="H22" s="469">
        <f ca="1">ภ.2!$B$22</f>
        <v>144</v>
      </c>
      <c r="I22" s="470">
        <f ca="1">ภ.2!$C$22</f>
        <v>147</v>
      </c>
      <c r="J22" s="415">
        <f ca="1">H22*1</f>
        <v>144</v>
      </c>
      <c r="K22" s="471">
        <f ca="1">ภ.3!$B$22</f>
        <v>121</v>
      </c>
      <c r="L22" s="472">
        <f ca="1">ภ.3!$C$22</f>
        <v>122</v>
      </c>
      <c r="M22" s="416">
        <f ca="1">K22*1</f>
        <v>121</v>
      </c>
      <c r="N22" s="469">
        <f ca="1">ภ.4!$B$22</f>
        <v>870</v>
      </c>
      <c r="O22" s="470">
        <f ca="1">ภ.4!$C$22</f>
        <v>866</v>
      </c>
      <c r="P22" s="415">
        <f ca="1">N22*1</f>
        <v>870</v>
      </c>
      <c r="Q22" s="471">
        <f ca="1">ภ.5!$B$22</f>
        <v>59</v>
      </c>
      <c r="R22" s="472">
        <f ca="1">ภ.5!$C$22</f>
        <v>42</v>
      </c>
      <c r="S22" s="416">
        <f ca="1">Q22*1</f>
        <v>59</v>
      </c>
      <c r="T22" s="469">
        <f ca="1">ภ.6!$B$22</f>
        <v>87</v>
      </c>
      <c r="U22" s="470">
        <f ca="1">ภ.6!$C$22</f>
        <v>89</v>
      </c>
      <c r="V22" s="415">
        <f ca="1">T22*1</f>
        <v>87</v>
      </c>
      <c r="W22" s="471">
        <f ca="1">ภ.7!$B$22</f>
        <v>188</v>
      </c>
      <c r="X22" s="472">
        <f ca="1">ภ.7!$C$22</f>
        <v>190</v>
      </c>
      <c r="Y22" s="416">
        <f ca="1">W22*1</f>
        <v>188</v>
      </c>
      <c r="Z22" s="469">
        <f ca="1">ภ.8!$B$22</f>
        <v>196</v>
      </c>
      <c r="AA22" s="470">
        <f ca="1">ภ.8!$C$22</f>
        <v>199</v>
      </c>
      <c r="AB22" s="415">
        <f ca="1">Z22*1</f>
        <v>196</v>
      </c>
      <c r="AC22" s="471">
        <f ca="1">ภ.9!$B$22</f>
        <v>203</v>
      </c>
      <c r="AD22" s="472">
        <f ca="1">ภ.9!$C$22</f>
        <v>211</v>
      </c>
      <c r="AE22" s="416">
        <f ca="1">AC22*1</f>
        <v>203</v>
      </c>
      <c r="AF22" s="469">
        <f ca="1">บช.ก.!$C$22</f>
        <v>48</v>
      </c>
      <c r="AG22" s="470">
        <f ca="1">บช.ก.!$D$22</f>
        <v>51</v>
      </c>
      <c r="AH22" s="415">
        <f ca="1">AF22*1</f>
        <v>48</v>
      </c>
      <c r="AI22" s="471">
        <f ca="1">บช.สอท.!$B$22</f>
        <v>5</v>
      </c>
      <c r="AJ22" s="472">
        <f ca="1">บช.สอท.!$C$22</f>
        <v>5</v>
      </c>
      <c r="AK22" s="416">
        <f ca="1">AI22*1</f>
        <v>5</v>
      </c>
      <c r="AL22" s="469">
        <f ca="1">บช.ปส.!$B$22</f>
        <v>4</v>
      </c>
      <c r="AM22" s="470">
        <f ca="1">บช.ปส.!$C$22</f>
        <v>4</v>
      </c>
      <c r="AN22" s="415">
        <f ca="1">AL22*1</f>
        <v>4</v>
      </c>
      <c r="AO22" s="471">
        <f ca="1">สตม.!$B$22</f>
        <v>36</v>
      </c>
      <c r="AP22" s="472">
        <f ca="1">สตม.!$C$22</f>
        <v>45</v>
      </c>
      <c r="AQ22" s="416">
        <f ca="1">AO22*1</f>
        <v>36</v>
      </c>
      <c r="AR22" s="469">
        <f ca="1">บช.ทท.!$B$22</f>
        <v>10</v>
      </c>
      <c r="AS22" s="470">
        <f ca="1">บช.ทท.!$C$22</f>
        <v>10</v>
      </c>
      <c r="AT22" s="415">
        <f ca="1">AR22*1</f>
        <v>10</v>
      </c>
      <c r="AU22" s="416">
        <f ca="1">บช.ตชด.!$B$22</f>
        <v>2</v>
      </c>
      <c r="AV22" s="472">
        <f ca="1">บช.ตชด.!$C$22</f>
        <v>3</v>
      </c>
      <c r="AW22" s="416">
        <f ca="1">AU22*1</f>
        <v>2</v>
      </c>
      <c r="AX22" s="473">
        <f t="shared" ca="1" si="17"/>
        <v>2179</v>
      </c>
      <c r="AY22" s="474">
        <f t="shared" ca="1" si="17"/>
        <v>2190</v>
      </c>
      <c r="AZ22" s="483"/>
      <c r="BA22" s="483"/>
      <c r="BB22" s="483"/>
      <c r="BC22" s="483"/>
      <c r="BD22" s="483"/>
      <c r="BE22" s="483"/>
      <c r="BF22" s="483"/>
      <c r="BG22" s="483"/>
      <c r="BH22" s="483"/>
      <c r="BI22" s="483"/>
      <c r="BJ22" s="483"/>
      <c r="BK22" s="483"/>
      <c r="BL22" s="483"/>
      <c r="BM22" s="483"/>
      <c r="BN22" s="483"/>
      <c r="BO22" s="483"/>
      <c r="BP22" s="483"/>
      <c r="BQ22" s="483"/>
      <c r="BR22" s="483"/>
      <c r="BS22" s="483"/>
      <c r="BT22" s="483"/>
      <c r="BU22" s="483"/>
      <c r="BV22" s="483"/>
      <c r="BW22" s="483"/>
      <c r="BX22" s="483"/>
      <c r="BY22" s="483"/>
      <c r="BZ22" s="483"/>
      <c r="CA22" s="483"/>
      <c r="CB22" s="483"/>
    </row>
    <row r="23" spans="1:80" s="451" customFormat="1" ht="28.5" thickBot="1">
      <c r="A23" s="484" t="s">
        <v>40</v>
      </c>
      <c r="B23" s="485">
        <f ca="1">บช.น.!$B$23</f>
        <v>50</v>
      </c>
      <c r="C23" s="486">
        <f ca="1">บช.น.!$C$23</f>
        <v>50</v>
      </c>
      <c r="D23" s="487">
        <f ca="1">B23*0.5</f>
        <v>25</v>
      </c>
      <c r="E23" s="488">
        <f ca="1">ภ.1!$B$23</f>
        <v>215</v>
      </c>
      <c r="F23" s="489">
        <f ca="1">ภ.1!$C$23</f>
        <v>215</v>
      </c>
      <c r="G23" s="490">
        <f ca="1">E23*0.5</f>
        <v>107.5</v>
      </c>
      <c r="H23" s="485">
        <f ca="1">ภ.2!$B$23</f>
        <v>457</v>
      </c>
      <c r="I23" s="486">
        <f ca="1">ภ.2!$C$23</f>
        <v>456</v>
      </c>
      <c r="J23" s="487">
        <f ca="1">H23*0.5</f>
        <v>228.5</v>
      </c>
      <c r="K23" s="488">
        <f ca="1">ภ.3!$B$23</f>
        <v>560</v>
      </c>
      <c r="L23" s="489">
        <f ca="1">ภ.3!$C$23</f>
        <v>560</v>
      </c>
      <c r="M23" s="490">
        <f ca="1">K23*0.5</f>
        <v>280</v>
      </c>
      <c r="N23" s="485">
        <f ca="1">ภ.4!$B$23</f>
        <v>2364</v>
      </c>
      <c r="O23" s="486">
        <f ca="1">ภ.4!$C$23</f>
        <v>2349</v>
      </c>
      <c r="P23" s="487">
        <f ca="1">N23*0.5</f>
        <v>1182</v>
      </c>
      <c r="Q23" s="488">
        <f ca="1">ภ.5!$B$23</f>
        <v>227</v>
      </c>
      <c r="R23" s="489">
        <f ca="1">ภ.5!$C$23</f>
        <v>227</v>
      </c>
      <c r="S23" s="490">
        <f ca="1">Q23*0.5</f>
        <v>113.5</v>
      </c>
      <c r="T23" s="485">
        <f ca="1">ภ.6!$B$23</f>
        <v>396</v>
      </c>
      <c r="U23" s="486">
        <f ca="1">ภ.6!$C$23</f>
        <v>396</v>
      </c>
      <c r="V23" s="487">
        <f ca="1">T23*0.5</f>
        <v>198</v>
      </c>
      <c r="W23" s="488">
        <f ca="1">ภ.7!$B$23</f>
        <v>278</v>
      </c>
      <c r="X23" s="489">
        <f ca="1">ภ.7!$C$23</f>
        <v>278</v>
      </c>
      <c r="Y23" s="490">
        <f ca="1">W23*0.5</f>
        <v>139</v>
      </c>
      <c r="Z23" s="485">
        <f ca="1">ภ.8!$B$23</f>
        <v>218</v>
      </c>
      <c r="AA23" s="486">
        <f ca="1">ภ.8!$C$23</f>
        <v>218</v>
      </c>
      <c r="AB23" s="487">
        <f ca="1">Z23*0.5</f>
        <v>109</v>
      </c>
      <c r="AC23" s="488">
        <f ca="1">ภ.9!$B$23</f>
        <v>173</v>
      </c>
      <c r="AD23" s="489">
        <f ca="1">ภ.9!$C$23</f>
        <v>173</v>
      </c>
      <c r="AE23" s="490">
        <f ca="1">AC23*0.5</f>
        <v>86.5</v>
      </c>
      <c r="AF23" s="485">
        <f ca="1">บช.ก.!$C$23</f>
        <v>34</v>
      </c>
      <c r="AG23" s="486">
        <f ca="1">บช.ก.!$D$23</f>
        <v>42</v>
      </c>
      <c r="AH23" s="487">
        <f ca="1">AF23*0.5</f>
        <v>17</v>
      </c>
      <c r="AI23" s="488">
        <f ca="1">บช.สอท.!$B$23</f>
        <v>9</v>
      </c>
      <c r="AJ23" s="489">
        <f ca="1">บช.สอท.!$C$23</f>
        <v>10</v>
      </c>
      <c r="AK23" s="490">
        <f ca="1">AI23*0.5</f>
        <v>4.5</v>
      </c>
      <c r="AL23" s="485">
        <f ca="1">บช.ปส.!$B$23</f>
        <v>2</v>
      </c>
      <c r="AM23" s="486">
        <f ca="1">บช.ปส.!$C$23</f>
        <v>2</v>
      </c>
      <c r="AN23" s="487">
        <f ca="1">AL23*0.5</f>
        <v>1</v>
      </c>
      <c r="AO23" s="488">
        <f ca="1">สตม.!$B$23</f>
        <v>87</v>
      </c>
      <c r="AP23" s="489">
        <f ca="1">สตม.!$C$23</f>
        <v>89</v>
      </c>
      <c r="AQ23" s="490">
        <f ca="1">AO23*0.5</f>
        <v>43.5</v>
      </c>
      <c r="AR23" s="485">
        <f ca="1">บช.ทท.!$B$23</f>
        <v>31</v>
      </c>
      <c r="AS23" s="486">
        <f ca="1">บช.ทท.!$C$23</f>
        <v>31</v>
      </c>
      <c r="AT23" s="487">
        <f ca="1">AR23*0.5</f>
        <v>15.5</v>
      </c>
      <c r="AU23" s="490">
        <f ca="1">บช.ตชด.!$B$23</f>
        <v>6</v>
      </c>
      <c r="AV23" s="489">
        <f ca="1">บช.ตชด.!$C$23</f>
        <v>6</v>
      </c>
      <c r="AW23" s="490">
        <f ca="1">AU23*0.5</f>
        <v>3</v>
      </c>
      <c r="AX23" s="491">
        <f t="shared" ca="1" si="17"/>
        <v>5107</v>
      </c>
      <c r="AY23" s="492">
        <f t="shared" ca="1" si="17"/>
        <v>5102</v>
      </c>
      <c r="AZ23" s="483"/>
      <c r="BA23" s="483"/>
      <c r="BB23" s="483"/>
      <c r="BC23" s="483"/>
      <c r="BD23" s="483"/>
      <c r="BE23" s="483"/>
      <c r="BF23" s="483"/>
      <c r="BG23" s="483"/>
      <c r="BH23" s="483"/>
      <c r="BI23" s="483"/>
      <c r="BJ23" s="483"/>
      <c r="BK23" s="483"/>
      <c r="BL23" s="483"/>
      <c r="BM23" s="483"/>
      <c r="BN23" s="483"/>
      <c r="BO23" s="483"/>
      <c r="BP23" s="483"/>
      <c r="BQ23" s="483"/>
      <c r="BR23" s="483"/>
      <c r="BS23" s="483"/>
      <c r="BT23" s="483"/>
      <c r="BU23" s="483"/>
      <c r="BV23" s="483"/>
      <c r="BW23" s="483"/>
      <c r="BX23" s="483"/>
      <c r="BY23" s="483"/>
      <c r="BZ23" s="483"/>
      <c r="CA23" s="483"/>
      <c r="CB23" s="483"/>
    </row>
    <row r="24" spans="1:80" s="424" customFormat="1" ht="28.5" thickBot="1">
      <c r="A24" s="427" t="s">
        <v>32</v>
      </c>
      <c r="B24" s="428">
        <f ca="1">บช.น.!$B$24</f>
        <v>133</v>
      </c>
      <c r="C24" s="429">
        <f ca="1">บช.น.!$C$24</f>
        <v>187</v>
      </c>
      <c r="D24" s="428">
        <f ca="1">SUM(D17:D23)</f>
        <v>165</v>
      </c>
      <c r="E24" s="428">
        <f ca="1">ภ.1!$B$24</f>
        <v>635</v>
      </c>
      <c r="F24" s="429">
        <f ca="1">ภ.1!$C$24</f>
        <v>648</v>
      </c>
      <c r="G24" s="428">
        <f ca="1">SUM(G17:G23)</f>
        <v>889.5</v>
      </c>
      <c r="H24" s="428">
        <f ca="1">ภ.2!$B$24</f>
        <v>786</v>
      </c>
      <c r="I24" s="429">
        <f ca="1">ภ.2!$C$24</f>
        <v>799</v>
      </c>
      <c r="J24" s="428">
        <f ca="1">SUM(J17:J23)</f>
        <v>850.5</v>
      </c>
      <c r="K24" s="428">
        <f ca="1">ภ.3!$B$24</f>
        <v>869</v>
      </c>
      <c r="L24" s="429">
        <f ca="1">ภ.3!$C$24</f>
        <v>881</v>
      </c>
      <c r="M24" s="428">
        <f ca="1">SUM(M17:M23)</f>
        <v>883</v>
      </c>
      <c r="N24" s="428">
        <f ca="1">ภ.4!$B$24</f>
        <v>3854</v>
      </c>
      <c r="O24" s="429">
        <f ca="1">ภ.4!$C$24</f>
        <v>3859</v>
      </c>
      <c r="P24" s="428">
        <f ca="1">SUM(P17:P23)</f>
        <v>3598</v>
      </c>
      <c r="Q24" s="428">
        <f ca="1">ภ.5!$B$24</f>
        <v>461</v>
      </c>
      <c r="R24" s="429">
        <f ca="1">ภ.5!$C$24</f>
        <v>358</v>
      </c>
      <c r="S24" s="428">
        <f ca="1">SUM(S17:S23)</f>
        <v>773.5</v>
      </c>
      <c r="T24" s="428">
        <f ca="1">ภ.6!$B$24</f>
        <v>599</v>
      </c>
      <c r="U24" s="429">
        <f ca="1">ภ.6!$C$24</f>
        <v>613</v>
      </c>
      <c r="V24" s="428">
        <f ca="1">SUM(V17:V23)</f>
        <v>547</v>
      </c>
      <c r="W24" s="428">
        <f ca="1">ภ.7!$B$24</f>
        <v>652</v>
      </c>
      <c r="X24" s="429">
        <f ca="1">ภ.7!$C$24</f>
        <v>661</v>
      </c>
      <c r="Y24" s="428">
        <f ca="1">SUM(Y17:Y23)</f>
        <v>750</v>
      </c>
      <c r="Z24" s="428">
        <f ca="1">ภ.8!$B$24</f>
        <v>568</v>
      </c>
      <c r="AA24" s="429">
        <f ca="1">ภ.8!$C$24</f>
        <v>581</v>
      </c>
      <c r="AB24" s="428">
        <f ca="1">SUM(AB17:AB23)</f>
        <v>732</v>
      </c>
      <c r="AC24" s="428">
        <f ca="1">ภ.9!$B$24</f>
        <v>487</v>
      </c>
      <c r="AD24" s="429">
        <f ca="1">ภ.9!$C$24</f>
        <v>506</v>
      </c>
      <c r="AE24" s="428">
        <f ca="1">SUM(AE17:AE23)</f>
        <v>535.5</v>
      </c>
      <c r="AF24" s="428">
        <f ca="1">บช.ก.!$C$24</f>
        <v>169</v>
      </c>
      <c r="AG24" s="429">
        <f ca="1">บช.ก.!$D$24</f>
        <v>255</v>
      </c>
      <c r="AH24" s="428">
        <f ca="1">SUM(AH17:AH23)</f>
        <v>253</v>
      </c>
      <c r="AI24" s="428">
        <f ca="1">บช.สอท.!$B$24</f>
        <v>26</v>
      </c>
      <c r="AJ24" s="429">
        <f ca="1">บช.สอท.!$C$24</f>
        <v>28</v>
      </c>
      <c r="AK24" s="428">
        <f ca="1">SUM(AK17:AK23)</f>
        <v>39.5</v>
      </c>
      <c r="AL24" s="428">
        <f ca="1">บช.ปส.!$B$24</f>
        <v>26</v>
      </c>
      <c r="AM24" s="429">
        <f ca="1">บช.ปส.!$C$24</f>
        <v>33</v>
      </c>
      <c r="AN24" s="428">
        <f ca="1">SUM(AN17:AN23)</f>
        <v>50</v>
      </c>
      <c r="AO24" s="428">
        <f ca="1">สตม.!$B$24</f>
        <v>191</v>
      </c>
      <c r="AP24" s="429">
        <f ca="1">สตม.!$C$24</f>
        <v>204</v>
      </c>
      <c r="AQ24" s="428">
        <f ca="1">SUM(AQ17:AQ23)</f>
        <v>239.5</v>
      </c>
      <c r="AR24" s="428">
        <f ca="1">บช.ทท.!$B$24</f>
        <v>74</v>
      </c>
      <c r="AS24" s="429">
        <f ca="1">บช.ทท.!$C$24</f>
        <v>75</v>
      </c>
      <c r="AT24" s="428">
        <f ca="1">SUM(AT17:AT23)</f>
        <v>111.5</v>
      </c>
      <c r="AU24" s="430">
        <f ca="1">บช.ตชด.!$B$24</f>
        <v>19</v>
      </c>
      <c r="AV24" s="429">
        <f ca="1">บช.ตชด.!$C$24</f>
        <v>26</v>
      </c>
      <c r="AW24" s="430">
        <f ca="1">SUM(AW17:AW23)</f>
        <v>27</v>
      </c>
      <c r="AX24" s="456">
        <f ca="1">SUM(AX17:AX23)</f>
        <v>9550</v>
      </c>
      <c r="AY24" s="457">
        <f ca="1">SUM(AY17:AY23)</f>
        <v>9715</v>
      </c>
      <c r="AZ24" s="431"/>
      <c r="BA24" s="431"/>
      <c r="BB24" s="431"/>
      <c r="BC24" s="431"/>
      <c r="BD24" s="431"/>
      <c r="BE24" s="431"/>
      <c r="BF24" s="431"/>
      <c r="BG24" s="431"/>
      <c r="BH24" s="431"/>
      <c r="BI24" s="431"/>
      <c r="BJ24" s="431"/>
      <c r="BK24" s="431"/>
      <c r="BL24" s="431"/>
      <c r="BM24" s="431"/>
      <c r="BN24" s="431"/>
      <c r="BO24" s="431"/>
      <c r="BP24" s="431"/>
      <c r="BQ24" s="431"/>
      <c r="BR24" s="431"/>
      <c r="BS24" s="431"/>
      <c r="BT24" s="431"/>
      <c r="BU24" s="431"/>
      <c r="BV24" s="431"/>
      <c r="BW24" s="431"/>
      <c r="BX24" s="431"/>
      <c r="BY24" s="431"/>
      <c r="BZ24" s="431"/>
      <c r="CA24" s="431"/>
      <c r="CB24" s="431"/>
    </row>
    <row r="25" spans="1:80" s="451" customFormat="1" ht="28.5" thickBot="1">
      <c r="A25" s="493" t="s">
        <v>41</v>
      </c>
      <c r="B25" s="494"/>
      <c r="C25" s="495"/>
      <c r="D25" s="432"/>
      <c r="E25" s="496"/>
      <c r="F25" s="497"/>
      <c r="G25" s="433"/>
      <c r="H25" s="494"/>
      <c r="I25" s="495"/>
      <c r="J25" s="432"/>
      <c r="K25" s="496"/>
      <c r="L25" s="497"/>
      <c r="M25" s="433"/>
      <c r="N25" s="494"/>
      <c r="O25" s="495"/>
      <c r="P25" s="432"/>
      <c r="Q25" s="496"/>
      <c r="R25" s="497"/>
      <c r="S25" s="433"/>
      <c r="T25" s="494"/>
      <c r="U25" s="495"/>
      <c r="V25" s="432"/>
      <c r="W25" s="496"/>
      <c r="X25" s="497"/>
      <c r="Y25" s="433"/>
      <c r="Z25" s="494"/>
      <c r="AA25" s="495"/>
      <c r="AB25" s="432"/>
      <c r="AC25" s="496"/>
      <c r="AD25" s="497"/>
      <c r="AE25" s="433"/>
      <c r="AF25" s="494"/>
      <c r="AG25" s="495"/>
      <c r="AH25" s="432"/>
      <c r="AI25" s="496"/>
      <c r="AJ25" s="497"/>
      <c r="AK25" s="433"/>
      <c r="AL25" s="494"/>
      <c r="AM25" s="495"/>
      <c r="AN25" s="432"/>
      <c r="AO25" s="496"/>
      <c r="AP25" s="497"/>
      <c r="AQ25" s="433"/>
      <c r="AR25" s="494"/>
      <c r="AS25" s="495"/>
      <c r="AT25" s="432"/>
      <c r="AU25" s="433"/>
      <c r="AV25" s="497"/>
      <c r="AW25" s="433"/>
      <c r="AX25" s="545"/>
      <c r="AY25" s="546"/>
      <c r="AZ25" s="480"/>
      <c r="BA25" s="480"/>
      <c r="BB25" s="480"/>
      <c r="BC25" s="480"/>
      <c r="BD25" s="480"/>
      <c r="BE25" s="480"/>
      <c r="BF25" s="480"/>
      <c r="BG25" s="480"/>
      <c r="BH25" s="480"/>
      <c r="BI25" s="480"/>
      <c r="BJ25" s="480"/>
      <c r="BK25" s="480"/>
      <c r="BL25" s="480"/>
      <c r="BM25" s="480"/>
      <c r="BN25" s="480"/>
      <c r="BO25" s="480"/>
      <c r="BP25" s="480"/>
      <c r="BQ25" s="480"/>
      <c r="BR25" s="480"/>
      <c r="BS25" s="480"/>
      <c r="BT25" s="480"/>
      <c r="BU25" s="480"/>
      <c r="BV25" s="480"/>
      <c r="BW25" s="480"/>
      <c r="BX25" s="480"/>
      <c r="BY25" s="480"/>
      <c r="BZ25" s="480"/>
      <c r="CA25" s="480"/>
      <c r="CB25" s="480"/>
    </row>
    <row r="26" spans="1:80" s="451" customFormat="1">
      <c r="A26" s="468" t="s">
        <v>42</v>
      </c>
      <c r="B26" s="469">
        <f ca="1">บช.น.!$B$26</f>
        <v>0</v>
      </c>
      <c r="C26" s="470">
        <f ca="1">บช.น.!$C$26</f>
        <v>0</v>
      </c>
      <c r="D26" s="415">
        <f ca="1">B26*5</f>
        <v>0</v>
      </c>
      <c r="E26" s="471">
        <f ca="1">ภ.1!$B$26</f>
        <v>0</v>
      </c>
      <c r="F26" s="472">
        <f ca="1">ภ.1!$C$26</f>
        <v>0</v>
      </c>
      <c r="G26" s="416">
        <f ca="1">E26*5</f>
        <v>0</v>
      </c>
      <c r="H26" s="469">
        <f ca="1">ภ.2!$B$26</f>
        <v>5</v>
      </c>
      <c r="I26" s="470">
        <f ca="1">ภ.2!$C$26</f>
        <v>5</v>
      </c>
      <c r="J26" s="415">
        <f ca="1">H26*5</f>
        <v>25</v>
      </c>
      <c r="K26" s="471">
        <f ca="1">ภ.3!$B$26</f>
        <v>0</v>
      </c>
      <c r="L26" s="472">
        <f ca="1">ภ.3!$C$26</f>
        <v>0</v>
      </c>
      <c r="M26" s="416">
        <f ca="1">K26*5</f>
        <v>0</v>
      </c>
      <c r="N26" s="469">
        <f ca="1">ภ.4!$B$26</f>
        <v>1</v>
      </c>
      <c r="O26" s="470">
        <f ca="1">ภ.4!$C$26</f>
        <v>1</v>
      </c>
      <c r="P26" s="415">
        <f ca="1">N26*5</f>
        <v>5</v>
      </c>
      <c r="Q26" s="471">
        <f ca="1">ภ.5!$B$26</f>
        <v>1</v>
      </c>
      <c r="R26" s="472">
        <f ca="1">ภ.5!$C$26</f>
        <v>2</v>
      </c>
      <c r="S26" s="416">
        <f ca="1">Q26*5</f>
        <v>5</v>
      </c>
      <c r="T26" s="469">
        <f ca="1">ภ.6!$B$26</f>
        <v>0</v>
      </c>
      <c r="U26" s="470">
        <f ca="1">ภ.6!$C$26</f>
        <v>0</v>
      </c>
      <c r="V26" s="415">
        <f ca="1">T26*5</f>
        <v>0</v>
      </c>
      <c r="W26" s="471">
        <f ca="1">ภ.7!$B$26</f>
        <v>0</v>
      </c>
      <c r="X26" s="472">
        <f ca="1">ภ.7!$C$26</f>
        <v>0</v>
      </c>
      <c r="Y26" s="416">
        <f ca="1">W26*5</f>
        <v>0</v>
      </c>
      <c r="Z26" s="469">
        <f ca="1">ภ.8!$B$26</f>
        <v>0</v>
      </c>
      <c r="AA26" s="470">
        <f ca="1">ภ.8!$C$26</f>
        <v>0</v>
      </c>
      <c r="AB26" s="415">
        <f ca="1">Z26*5</f>
        <v>0</v>
      </c>
      <c r="AC26" s="471">
        <f ca="1">ภ.9!$B$26</f>
        <v>3</v>
      </c>
      <c r="AD26" s="472">
        <f ca="1">ภ.9!$C$26</f>
        <v>3</v>
      </c>
      <c r="AE26" s="416">
        <f ca="1">AC26*5</f>
        <v>15</v>
      </c>
      <c r="AF26" s="469">
        <f ca="1">บช.ก.!$C$26</f>
        <v>2</v>
      </c>
      <c r="AG26" s="470">
        <f ca="1">บช.ก.!$D$26</f>
        <v>3</v>
      </c>
      <c r="AH26" s="415">
        <f ca="1">AF26*5</f>
        <v>10</v>
      </c>
      <c r="AI26" s="471">
        <f ca="1">บช.สอท.!$B$26</f>
        <v>1</v>
      </c>
      <c r="AJ26" s="472">
        <f ca="1">บช.สอท.!$C$26</f>
        <v>1</v>
      </c>
      <c r="AK26" s="416">
        <f ca="1">AI26*5</f>
        <v>5</v>
      </c>
      <c r="AL26" s="469">
        <f ca="1">บช.ปส.!$B$26</f>
        <v>0</v>
      </c>
      <c r="AM26" s="470">
        <f ca="1">บช.ปส.!$C$26</f>
        <v>0</v>
      </c>
      <c r="AN26" s="415">
        <f ca="1">AL26*5</f>
        <v>0</v>
      </c>
      <c r="AO26" s="471">
        <f ca="1">สตม.!$B$26</f>
        <v>0</v>
      </c>
      <c r="AP26" s="472">
        <f ca="1">สตม.!$C$26</f>
        <v>0</v>
      </c>
      <c r="AQ26" s="416">
        <f ca="1">AO26*5</f>
        <v>0</v>
      </c>
      <c r="AR26" s="469">
        <f ca="1">บช.ทท.!$B$26</f>
        <v>1</v>
      </c>
      <c r="AS26" s="470">
        <f ca="1">บช.ทท.!$C$26</f>
        <v>1</v>
      </c>
      <c r="AT26" s="415">
        <f ca="1">AR26*5</f>
        <v>5</v>
      </c>
      <c r="AU26" s="416">
        <f ca="1">บช.ตชด.!$B$26</f>
        <v>0</v>
      </c>
      <c r="AV26" s="472">
        <f ca="1">บช.ตชด.!$C$26</f>
        <v>0</v>
      </c>
      <c r="AW26" s="416">
        <f ca="1">AU26*5</f>
        <v>0</v>
      </c>
      <c r="AX26" s="481">
        <v>15</v>
      </c>
      <c r="AY26" s="482">
        <f ca="1">SUM(C26,F26,I26,L26,O26,R26,U26,X26,AA26,AD26,AG26,AJ26,AM26,AP26,AS26,AV26)</f>
        <v>16</v>
      </c>
      <c r="AZ26" s="483"/>
      <c r="BA26" s="483"/>
      <c r="BB26" s="483"/>
      <c r="BC26" s="483"/>
      <c r="BD26" s="483"/>
      <c r="BE26" s="483"/>
      <c r="BF26" s="483"/>
      <c r="BG26" s="483"/>
      <c r="BH26" s="483"/>
      <c r="BI26" s="483"/>
      <c r="BJ26" s="483"/>
      <c r="BK26" s="483"/>
      <c r="BL26" s="483"/>
      <c r="BM26" s="483"/>
      <c r="BN26" s="483"/>
      <c r="BO26" s="483"/>
      <c r="BP26" s="483"/>
      <c r="BQ26" s="483"/>
      <c r="BR26" s="483"/>
      <c r="BS26" s="483"/>
      <c r="BT26" s="483"/>
      <c r="BU26" s="483"/>
      <c r="BV26" s="483"/>
      <c r="BW26" s="483"/>
      <c r="BX26" s="483"/>
      <c r="BY26" s="483"/>
      <c r="BZ26" s="483"/>
      <c r="CA26" s="483"/>
      <c r="CB26" s="483"/>
    </row>
    <row r="27" spans="1:80" s="451" customFormat="1">
      <c r="A27" s="468" t="s">
        <v>43</v>
      </c>
      <c r="B27" s="469">
        <f ca="1">บช.น.!$B$27</f>
        <v>0</v>
      </c>
      <c r="C27" s="470">
        <f ca="1">บช.น.!$C$27</f>
        <v>0</v>
      </c>
      <c r="D27" s="415">
        <f ca="1">B27*3</f>
        <v>0</v>
      </c>
      <c r="E27" s="471">
        <f ca="1">ภ.1!$B$27</f>
        <v>0</v>
      </c>
      <c r="F27" s="472">
        <f ca="1">ภ.1!$C$27</f>
        <v>0</v>
      </c>
      <c r="G27" s="416">
        <f ca="1">E27*3</f>
        <v>0</v>
      </c>
      <c r="H27" s="469">
        <f ca="1">ภ.2!$B$27</f>
        <v>0</v>
      </c>
      <c r="I27" s="470">
        <f ca="1">ภ.2!$C$27</f>
        <v>0</v>
      </c>
      <c r="J27" s="415">
        <f ca="1">H27*3</f>
        <v>0</v>
      </c>
      <c r="K27" s="471">
        <f ca="1">ภ.3!$B$27</f>
        <v>0</v>
      </c>
      <c r="L27" s="472">
        <f ca="1">ภ.3!$C$27</f>
        <v>0</v>
      </c>
      <c r="M27" s="416">
        <f ca="1">K27*3</f>
        <v>0</v>
      </c>
      <c r="N27" s="469">
        <f ca="1">ภ.4!$B$27</f>
        <v>5</v>
      </c>
      <c r="O27" s="470">
        <f ca="1">ภ.4!$C$27</f>
        <v>5</v>
      </c>
      <c r="P27" s="415">
        <f ca="1">N27*3</f>
        <v>15</v>
      </c>
      <c r="Q27" s="471">
        <f ca="1">ภ.5!$B$27</f>
        <v>1</v>
      </c>
      <c r="R27" s="472">
        <f ca="1">ภ.5!$C$27</f>
        <v>1</v>
      </c>
      <c r="S27" s="416">
        <f ca="1">Q27*3</f>
        <v>3</v>
      </c>
      <c r="T27" s="469">
        <f ca="1">ภ.6!$B$27</f>
        <v>6</v>
      </c>
      <c r="U27" s="470">
        <f ca="1">ภ.6!$C$27</f>
        <v>7</v>
      </c>
      <c r="V27" s="415">
        <f ca="1">T27*3</f>
        <v>18</v>
      </c>
      <c r="W27" s="471">
        <f ca="1">ภ.7!$B$27</f>
        <v>3</v>
      </c>
      <c r="X27" s="472">
        <f ca="1">ภ.7!$C$27</f>
        <v>3</v>
      </c>
      <c r="Y27" s="416">
        <f ca="1">W27*3</f>
        <v>9</v>
      </c>
      <c r="Z27" s="469">
        <f ca="1">ภ.8!$B$27</f>
        <v>0</v>
      </c>
      <c r="AA27" s="470">
        <f ca="1">ภ.8!$C$27</f>
        <v>0</v>
      </c>
      <c r="AB27" s="415">
        <f ca="1">Z27*3</f>
        <v>0</v>
      </c>
      <c r="AC27" s="471">
        <f ca="1">ภ.9!$B$27</f>
        <v>3</v>
      </c>
      <c r="AD27" s="472">
        <f ca="1">ภ.9!$C$27</f>
        <v>4</v>
      </c>
      <c r="AE27" s="416">
        <f ca="1">AC27*3</f>
        <v>9</v>
      </c>
      <c r="AF27" s="469">
        <f ca="1">บช.ก.!$C$27</f>
        <v>7</v>
      </c>
      <c r="AG27" s="470">
        <f ca="1">บช.ก.!$D$27</f>
        <v>9</v>
      </c>
      <c r="AH27" s="415">
        <f ca="1">AF27*3</f>
        <v>21</v>
      </c>
      <c r="AI27" s="471">
        <f ca="1">บช.สอท.!$B$27</f>
        <v>0</v>
      </c>
      <c r="AJ27" s="472">
        <f ca="1">บช.สอท.!$C$27</f>
        <v>0</v>
      </c>
      <c r="AK27" s="416">
        <f ca="1">AI27*3</f>
        <v>0</v>
      </c>
      <c r="AL27" s="469">
        <f ca="1">บช.ปส.!$B$27</f>
        <v>0</v>
      </c>
      <c r="AM27" s="470">
        <f ca="1">บช.ปส.!$C$27</f>
        <v>0</v>
      </c>
      <c r="AN27" s="415">
        <f ca="1">AL27*3</f>
        <v>0</v>
      </c>
      <c r="AO27" s="471">
        <f ca="1">สตม.!$B$27</f>
        <v>25</v>
      </c>
      <c r="AP27" s="472">
        <f ca="1">สตม.!$C$27</f>
        <v>28</v>
      </c>
      <c r="AQ27" s="416">
        <f ca="1">AO27*3</f>
        <v>75</v>
      </c>
      <c r="AR27" s="469">
        <f ca="1">บช.ทท.!$B$27</f>
        <v>6</v>
      </c>
      <c r="AS27" s="470">
        <f ca="1">บช.ทท.!$C$27</f>
        <v>7</v>
      </c>
      <c r="AT27" s="415">
        <f ca="1">AR27*3</f>
        <v>18</v>
      </c>
      <c r="AU27" s="416">
        <f ca="1">บช.ตชด.!$B$27</f>
        <v>0</v>
      </c>
      <c r="AV27" s="472">
        <f ca="1">บช.ตชด.!$C$27</f>
        <v>0</v>
      </c>
      <c r="AW27" s="416">
        <f ca="1">AU27*3</f>
        <v>0</v>
      </c>
      <c r="AX27" s="473">
        <f t="shared" ref="AX27:AY27" ca="1" si="18">SUM(B27,E27,H27,K27,N27,Q27,T27,W27,Z27,AC27,AF27,AI27,AL27,AO27,AR27,AU27)</f>
        <v>56</v>
      </c>
      <c r="AY27" s="474">
        <f t="shared" ca="1" si="18"/>
        <v>64</v>
      </c>
      <c r="AZ27" s="483"/>
      <c r="BA27" s="483"/>
      <c r="BB27" s="483"/>
      <c r="BC27" s="483"/>
      <c r="BD27" s="483"/>
      <c r="BE27" s="483"/>
      <c r="BF27" s="483"/>
      <c r="BG27" s="483"/>
      <c r="BH27" s="483"/>
      <c r="BI27" s="483"/>
      <c r="BJ27" s="483"/>
      <c r="BK27" s="483"/>
      <c r="BL27" s="483"/>
      <c r="BM27" s="483"/>
      <c r="BN27" s="483"/>
      <c r="BO27" s="483"/>
      <c r="BP27" s="483"/>
      <c r="BQ27" s="483"/>
      <c r="BR27" s="483"/>
      <c r="BS27" s="483"/>
      <c r="BT27" s="483"/>
      <c r="BU27" s="483"/>
      <c r="BV27" s="483"/>
      <c r="BW27" s="483"/>
      <c r="BX27" s="483"/>
      <c r="BY27" s="483"/>
      <c r="BZ27" s="483"/>
      <c r="CA27" s="483"/>
      <c r="CB27" s="483"/>
    </row>
    <row r="28" spans="1:80" s="451" customFormat="1" ht="28.5" thickBot="1">
      <c r="A28" s="484" t="s">
        <v>44</v>
      </c>
      <c r="B28" s="485">
        <f ca="1">บช.น.!$B$28</f>
        <v>301</v>
      </c>
      <c r="C28" s="486">
        <f ca="1">บช.น.!$C$28</f>
        <v>306</v>
      </c>
      <c r="D28" s="487">
        <f ca="1">B28*0.5</f>
        <v>150.5</v>
      </c>
      <c r="E28" s="488">
        <f ca="1">ภ.1!$B$28</f>
        <v>90</v>
      </c>
      <c r="F28" s="489">
        <f ca="1">ภ.1!$C$28</f>
        <v>91</v>
      </c>
      <c r="G28" s="490">
        <f ca="1">E28*0.5</f>
        <v>45</v>
      </c>
      <c r="H28" s="485">
        <f ca="1">ภ.2!$B$28</f>
        <v>102</v>
      </c>
      <c r="I28" s="486">
        <f ca="1">ภ.2!$C$28</f>
        <v>102</v>
      </c>
      <c r="J28" s="487">
        <f ca="1">H28*0.5</f>
        <v>51</v>
      </c>
      <c r="K28" s="488">
        <f ca="1">ภ.3!$B$28</f>
        <v>8</v>
      </c>
      <c r="L28" s="489">
        <f ca="1">ภ.3!$C$28</f>
        <v>8</v>
      </c>
      <c r="M28" s="490">
        <f ca="1">K28*0.5</f>
        <v>4</v>
      </c>
      <c r="N28" s="485">
        <f ca="1">ภ.4!$B$28</f>
        <v>87</v>
      </c>
      <c r="O28" s="486">
        <f ca="1">ภ.4!$C$28</f>
        <v>87</v>
      </c>
      <c r="P28" s="487">
        <f ca="1">N28*0.5</f>
        <v>43.5</v>
      </c>
      <c r="Q28" s="488">
        <f ca="1">ภ.5!$B$28</f>
        <v>51</v>
      </c>
      <c r="R28" s="489">
        <f ca="1">ภ.5!$C$28</f>
        <v>51</v>
      </c>
      <c r="S28" s="490">
        <f ca="1">Q28*0.5</f>
        <v>25.5</v>
      </c>
      <c r="T28" s="485">
        <f ca="1">ภ.6!$B$28</f>
        <v>84</v>
      </c>
      <c r="U28" s="486">
        <f ca="1">ภ.6!$C$28</f>
        <v>84</v>
      </c>
      <c r="V28" s="487">
        <f ca="1">T28*0.5</f>
        <v>42</v>
      </c>
      <c r="W28" s="488">
        <f ca="1">ภ.7!$B$28</f>
        <v>87</v>
      </c>
      <c r="X28" s="489">
        <f ca="1">ภ.7!$C$28</f>
        <v>146</v>
      </c>
      <c r="Y28" s="490">
        <f ca="1">W28*0.5</f>
        <v>43.5</v>
      </c>
      <c r="Z28" s="485">
        <f ca="1">ภ.8!$B$28</f>
        <v>9</v>
      </c>
      <c r="AA28" s="486">
        <f ca="1">ภ.8!$C$28</f>
        <v>9</v>
      </c>
      <c r="AB28" s="487">
        <f ca="1">Z28*0.5</f>
        <v>4.5</v>
      </c>
      <c r="AC28" s="488">
        <f ca="1">ภ.9!$B$28</f>
        <v>11</v>
      </c>
      <c r="AD28" s="489">
        <f ca="1">ภ.9!$C$28</f>
        <v>51</v>
      </c>
      <c r="AE28" s="490">
        <f ca="1">AC28*0.5</f>
        <v>5.5</v>
      </c>
      <c r="AF28" s="485">
        <f ca="1">บช.ก.!$C$28</f>
        <v>35</v>
      </c>
      <c r="AG28" s="486">
        <f ca="1">บช.ก.!$D$28</f>
        <v>105</v>
      </c>
      <c r="AH28" s="487">
        <f ca="1">AF28*0.5</f>
        <v>17.5</v>
      </c>
      <c r="AI28" s="488">
        <f ca="1">บช.สอท.!$B$28</f>
        <v>7</v>
      </c>
      <c r="AJ28" s="489">
        <f ca="1">บช.สอท.!$C$28</f>
        <v>11</v>
      </c>
      <c r="AK28" s="490">
        <f ca="1">AI28*0.5</f>
        <v>3.5</v>
      </c>
      <c r="AL28" s="485">
        <f ca="1">บช.ปส.!$B$28</f>
        <v>1</v>
      </c>
      <c r="AM28" s="486">
        <f ca="1">บช.ปส.!$C$28</f>
        <v>1</v>
      </c>
      <c r="AN28" s="487">
        <f ca="1">AL28*0.5</f>
        <v>0.5</v>
      </c>
      <c r="AO28" s="488">
        <f ca="1">สตม.!$B$28</f>
        <v>648</v>
      </c>
      <c r="AP28" s="489">
        <f ca="1">สตม.!$C$28</f>
        <v>928</v>
      </c>
      <c r="AQ28" s="490">
        <f ca="1">AO28*0.5</f>
        <v>324</v>
      </c>
      <c r="AR28" s="485">
        <f ca="1">บช.ทท.!$B$28</f>
        <v>31</v>
      </c>
      <c r="AS28" s="486">
        <f ca="1">บช.ทท.!$C$28</f>
        <v>48</v>
      </c>
      <c r="AT28" s="487">
        <f ca="1">AR28*0.5</f>
        <v>15.5</v>
      </c>
      <c r="AU28" s="490">
        <f ca="1">บช.ตชด.!$B$28</f>
        <v>16</v>
      </c>
      <c r="AV28" s="489">
        <f ca="1">บช.ตชด.!$C$28</f>
        <v>80</v>
      </c>
      <c r="AW28" s="490">
        <f ca="1">AU28*0.5</f>
        <v>8</v>
      </c>
      <c r="AX28" s="473">
        <v>1580</v>
      </c>
      <c r="AY28" s="474">
        <v>2111</v>
      </c>
      <c r="AZ28" s="483"/>
      <c r="BA28" s="483"/>
      <c r="BB28" s="483"/>
      <c r="BC28" s="483"/>
      <c r="BD28" s="483"/>
      <c r="BE28" s="483"/>
      <c r="BF28" s="483"/>
      <c r="BG28" s="483"/>
      <c r="BH28" s="483"/>
      <c r="BI28" s="483"/>
      <c r="BJ28" s="483"/>
      <c r="BK28" s="483"/>
      <c r="BL28" s="483"/>
      <c r="BM28" s="483"/>
      <c r="BN28" s="483"/>
      <c r="BO28" s="483"/>
      <c r="BP28" s="483"/>
      <c r="BQ28" s="483"/>
      <c r="BR28" s="483"/>
      <c r="BS28" s="483"/>
      <c r="BT28" s="483"/>
      <c r="BU28" s="483"/>
      <c r="BV28" s="483"/>
      <c r="BW28" s="483"/>
      <c r="BX28" s="483"/>
      <c r="BY28" s="483"/>
      <c r="BZ28" s="483"/>
      <c r="CA28" s="483"/>
      <c r="CB28" s="483"/>
    </row>
    <row r="29" spans="1:80" s="424" customFormat="1" ht="28.5" thickBot="1">
      <c r="A29" s="427" t="s">
        <v>32</v>
      </c>
      <c r="B29" s="428">
        <f ca="1">บช.น.!$B$29</f>
        <v>301</v>
      </c>
      <c r="C29" s="429">
        <f ca="1">บช.น.!$C$29</f>
        <v>306</v>
      </c>
      <c r="D29" s="428">
        <f ca="1">SUM(D26:D28)</f>
        <v>150.5</v>
      </c>
      <c r="E29" s="428">
        <f ca="1">ภ.1!$B$29</f>
        <v>90</v>
      </c>
      <c r="F29" s="429">
        <f ca="1">ภ.1!$C$29</f>
        <v>91</v>
      </c>
      <c r="G29" s="428">
        <f ca="1">SUM(G26:G28)</f>
        <v>45</v>
      </c>
      <c r="H29" s="428">
        <f ca="1">ภ.2!$B$29</f>
        <v>107</v>
      </c>
      <c r="I29" s="429">
        <f ca="1">ภ.2!$C$29</f>
        <v>107</v>
      </c>
      <c r="J29" s="428">
        <f ca="1">SUM(J26:J28)</f>
        <v>76</v>
      </c>
      <c r="K29" s="428">
        <f ca="1">ภ.3!$B$29</f>
        <v>8</v>
      </c>
      <c r="L29" s="429">
        <f ca="1">ภ.3!$C$29</f>
        <v>8</v>
      </c>
      <c r="M29" s="428">
        <f ca="1">SUM(M26:M28)</f>
        <v>4</v>
      </c>
      <c r="N29" s="428">
        <f ca="1">ภ.4!$B$29</f>
        <v>93</v>
      </c>
      <c r="O29" s="429">
        <f ca="1">ภ.4!$C$29</f>
        <v>93</v>
      </c>
      <c r="P29" s="428">
        <f ca="1">SUM(P26:P28)</f>
        <v>63.5</v>
      </c>
      <c r="Q29" s="428">
        <f ca="1">ภ.5!$B$29</f>
        <v>53</v>
      </c>
      <c r="R29" s="429">
        <f ca="1">ภ.5!$C$29</f>
        <v>54</v>
      </c>
      <c r="S29" s="428">
        <f ca="1">SUM(S26:S28)</f>
        <v>33.5</v>
      </c>
      <c r="T29" s="428">
        <f ca="1">ภ.6!$B$29</f>
        <v>90</v>
      </c>
      <c r="U29" s="429">
        <f ca="1">ภ.6!$C$29</f>
        <v>91</v>
      </c>
      <c r="V29" s="428">
        <f ca="1">SUM(V26:V28)</f>
        <v>60</v>
      </c>
      <c r="W29" s="428">
        <f ca="1">ภ.7!$B$29</f>
        <v>90</v>
      </c>
      <c r="X29" s="429">
        <f ca="1">ภ.7!$C$29</f>
        <v>149</v>
      </c>
      <c r="Y29" s="428">
        <f ca="1">SUM(Y26:Y28)</f>
        <v>52.5</v>
      </c>
      <c r="Z29" s="428">
        <f ca="1">ภ.8!$B$29</f>
        <v>9</v>
      </c>
      <c r="AA29" s="429">
        <f ca="1">ภ.8!$C$29</f>
        <v>9</v>
      </c>
      <c r="AB29" s="428">
        <f ca="1">SUM(AB26:AB28)</f>
        <v>4.5</v>
      </c>
      <c r="AC29" s="428">
        <f ca="1">ภ.9!$B$29</f>
        <v>17</v>
      </c>
      <c r="AD29" s="429">
        <f ca="1">ภ.9!$C$29</f>
        <v>58</v>
      </c>
      <c r="AE29" s="428">
        <f ca="1">SUM(AE26:AE28)</f>
        <v>29.5</v>
      </c>
      <c r="AF29" s="428">
        <f ca="1">บช.ก.!$C$29</f>
        <v>44</v>
      </c>
      <c r="AG29" s="429">
        <f ca="1">บช.ก.!$D$29</f>
        <v>117</v>
      </c>
      <c r="AH29" s="428">
        <f ca="1">SUM(AH26:AH28)</f>
        <v>48.5</v>
      </c>
      <c r="AI29" s="428">
        <f ca="1">บช.สอท.!$B$29</f>
        <v>8</v>
      </c>
      <c r="AJ29" s="429">
        <f ca="1">บช.สอท.!$C$29</f>
        <v>12</v>
      </c>
      <c r="AK29" s="428">
        <f ca="1">SUM(AK26:AK28)</f>
        <v>8.5</v>
      </c>
      <c r="AL29" s="428">
        <f ca="1">บช.ปส.!$B$29</f>
        <v>1</v>
      </c>
      <c r="AM29" s="429">
        <f ca="1">บช.ปส.!$C$29</f>
        <v>1</v>
      </c>
      <c r="AN29" s="428">
        <f ca="1">SUM(AN26:AN28)</f>
        <v>0.5</v>
      </c>
      <c r="AO29" s="428">
        <f ca="1">สตม.!$B$29</f>
        <v>673</v>
      </c>
      <c r="AP29" s="429">
        <f ca="1">สตม.!$C$29</f>
        <v>956</v>
      </c>
      <c r="AQ29" s="428">
        <f ca="1">SUM(AQ26:AQ28)</f>
        <v>399</v>
      </c>
      <c r="AR29" s="428">
        <f ca="1">บช.ทท.!$B$29</f>
        <v>38</v>
      </c>
      <c r="AS29" s="429">
        <f ca="1">บช.ทท.!$C$29</f>
        <v>56</v>
      </c>
      <c r="AT29" s="428">
        <f ca="1">SUM(AT26:AT28)</f>
        <v>38.5</v>
      </c>
      <c r="AU29" s="430">
        <f ca="1">บช.ตชด.!$B$29</f>
        <v>16</v>
      </c>
      <c r="AV29" s="429">
        <f ca="1">บช.ตชด.!$C$29</f>
        <v>80</v>
      </c>
      <c r="AW29" s="430">
        <f ca="1">SUM(AW26:AW28)</f>
        <v>8</v>
      </c>
      <c r="AX29" s="456">
        <f ca="1">SUM(AX26:AX28)</f>
        <v>1651</v>
      </c>
      <c r="AY29" s="457">
        <f ca="1">SUM(AY26:AY28)</f>
        <v>2191</v>
      </c>
      <c r="AZ29" s="431"/>
      <c r="BA29" s="431"/>
      <c r="BB29" s="431"/>
      <c r="BC29" s="431"/>
      <c r="BD29" s="431"/>
      <c r="BE29" s="431"/>
      <c r="BF29" s="431"/>
      <c r="BG29" s="431"/>
      <c r="BH29" s="431"/>
      <c r="BI29" s="431"/>
      <c r="BJ29" s="431"/>
      <c r="BK29" s="431"/>
      <c r="BL29" s="431"/>
      <c r="BM29" s="431"/>
      <c r="BN29" s="431"/>
      <c r="BO29" s="431"/>
      <c r="BP29" s="431"/>
      <c r="BQ29" s="431"/>
      <c r="BR29" s="431"/>
      <c r="BS29" s="431"/>
      <c r="BT29" s="431"/>
      <c r="BU29" s="431"/>
      <c r="BV29" s="431"/>
      <c r="BW29" s="431"/>
      <c r="BX29" s="431"/>
      <c r="BY29" s="431"/>
      <c r="BZ29" s="431"/>
      <c r="CA29" s="431"/>
      <c r="CB29" s="431"/>
    </row>
    <row r="30" spans="1:80" s="451" customFormat="1" ht="28.5" thickBot="1">
      <c r="A30" s="493" t="s">
        <v>45</v>
      </c>
      <c r="B30" s="494"/>
      <c r="C30" s="495"/>
      <c r="D30" s="432"/>
      <c r="E30" s="496"/>
      <c r="F30" s="497"/>
      <c r="G30" s="433"/>
      <c r="H30" s="494"/>
      <c r="I30" s="495"/>
      <c r="J30" s="432"/>
      <c r="K30" s="496"/>
      <c r="L30" s="497"/>
      <c r="M30" s="433"/>
      <c r="N30" s="494"/>
      <c r="O30" s="495"/>
      <c r="P30" s="432"/>
      <c r="Q30" s="496"/>
      <c r="R30" s="497"/>
      <c r="S30" s="433"/>
      <c r="T30" s="494"/>
      <c r="U30" s="495"/>
      <c r="V30" s="432"/>
      <c r="W30" s="496"/>
      <c r="X30" s="497"/>
      <c r="Y30" s="433"/>
      <c r="Z30" s="494"/>
      <c r="AA30" s="495"/>
      <c r="AB30" s="432"/>
      <c r="AC30" s="496"/>
      <c r="AD30" s="497"/>
      <c r="AE30" s="433"/>
      <c r="AF30" s="494"/>
      <c r="AG30" s="495"/>
      <c r="AH30" s="432"/>
      <c r="AI30" s="496"/>
      <c r="AJ30" s="497"/>
      <c r="AK30" s="433"/>
      <c r="AL30" s="494"/>
      <c r="AM30" s="495"/>
      <c r="AN30" s="432"/>
      <c r="AO30" s="496"/>
      <c r="AP30" s="497"/>
      <c r="AQ30" s="433"/>
      <c r="AR30" s="494"/>
      <c r="AS30" s="495"/>
      <c r="AT30" s="432"/>
      <c r="AU30" s="433"/>
      <c r="AV30" s="497"/>
      <c r="AW30" s="433"/>
      <c r="AX30" s="545"/>
      <c r="AY30" s="546"/>
      <c r="AZ30" s="480"/>
      <c r="BA30" s="480"/>
      <c r="BB30" s="480"/>
      <c r="BC30" s="480"/>
      <c r="BD30" s="480"/>
      <c r="BE30" s="480"/>
      <c r="BF30" s="480"/>
      <c r="BG30" s="480"/>
      <c r="BH30" s="480"/>
      <c r="BI30" s="480"/>
      <c r="BJ30" s="480"/>
      <c r="BK30" s="480"/>
      <c r="BL30" s="480"/>
      <c r="BM30" s="480"/>
      <c r="BN30" s="480"/>
      <c r="BO30" s="480"/>
      <c r="BP30" s="480"/>
      <c r="BQ30" s="480"/>
      <c r="BR30" s="480"/>
      <c r="BS30" s="480"/>
      <c r="BT30" s="480"/>
      <c r="BU30" s="480"/>
      <c r="BV30" s="480"/>
      <c r="BW30" s="480"/>
      <c r="BX30" s="480"/>
      <c r="BY30" s="480"/>
      <c r="BZ30" s="480"/>
      <c r="CA30" s="480"/>
      <c r="CB30" s="480"/>
    </row>
    <row r="31" spans="1:80" s="451" customFormat="1">
      <c r="A31" s="468" t="s">
        <v>46</v>
      </c>
      <c r="B31" s="469">
        <f ca="1">บช.น.!$B$31</f>
        <v>3</v>
      </c>
      <c r="C31" s="470">
        <f ca="1">บช.น.!$C$31</f>
        <v>5</v>
      </c>
      <c r="D31" s="415">
        <f ca="1">B31*3</f>
        <v>9</v>
      </c>
      <c r="E31" s="471">
        <f ca="1">ภ.1!$B$31</f>
        <v>0</v>
      </c>
      <c r="F31" s="472">
        <f ca="1">ภ.1!$C$31</f>
        <v>0</v>
      </c>
      <c r="G31" s="416">
        <f ca="1">E31*3</f>
        <v>0</v>
      </c>
      <c r="H31" s="469">
        <f ca="1">ภ.2!$B$31</f>
        <v>1</v>
      </c>
      <c r="I31" s="470">
        <f ca="1">ภ.2!$C$31</f>
        <v>1</v>
      </c>
      <c r="J31" s="415">
        <f ca="1">H31*3</f>
        <v>3</v>
      </c>
      <c r="K31" s="471">
        <f ca="1">ภ.3!$B$31</f>
        <v>0</v>
      </c>
      <c r="L31" s="472">
        <f ca="1">ภ.3!$C$31</f>
        <v>0</v>
      </c>
      <c r="M31" s="416">
        <f ca="1">K31*3</f>
        <v>0</v>
      </c>
      <c r="N31" s="469">
        <f ca="1">ภ.4!$B$31</f>
        <v>1</v>
      </c>
      <c r="O31" s="470">
        <f ca="1">ภ.4!$C$31</f>
        <v>1</v>
      </c>
      <c r="P31" s="415">
        <f ca="1">N31*3</f>
        <v>3</v>
      </c>
      <c r="Q31" s="471">
        <f ca="1">ภ.5!$B$31</f>
        <v>0</v>
      </c>
      <c r="R31" s="472">
        <f ca="1">ภ.5!$C$31</f>
        <v>0</v>
      </c>
      <c r="S31" s="416">
        <f ca="1">Q31*3</f>
        <v>0</v>
      </c>
      <c r="T31" s="469">
        <f ca="1">ภ.6!$B$31</f>
        <v>0</v>
      </c>
      <c r="U31" s="470">
        <f ca="1">ภ.6!$C$31</f>
        <v>0</v>
      </c>
      <c r="V31" s="415">
        <f ca="1">T31*3</f>
        <v>0</v>
      </c>
      <c r="W31" s="471">
        <f ca="1">ภ.7!$B$31</f>
        <v>0</v>
      </c>
      <c r="X31" s="472">
        <f ca="1">ภ.7!$C$31</f>
        <v>0</v>
      </c>
      <c r="Y31" s="416">
        <f ca="1">W31*3</f>
        <v>0</v>
      </c>
      <c r="Z31" s="469">
        <f ca="1">ภ.8!$B$31</f>
        <v>0</v>
      </c>
      <c r="AA31" s="470">
        <f ca="1">ภ.8!$C$31</f>
        <v>0</v>
      </c>
      <c r="AB31" s="415">
        <f ca="1">Z31*3</f>
        <v>0</v>
      </c>
      <c r="AC31" s="471">
        <f ca="1">ภ.9!$B$31</f>
        <v>0</v>
      </c>
      <c r="AD31" s="472">
        <f ca="1">ภ.9!$C$31</f>
        <v>0</v>
      </c>
      <c r="AE31" s="416">
        <f ca="1">AC31*3</f>
        <v>0</v>
      </c>
      <c r="AF31" s="469">
        <f ca="1">บช.ก.!$C$31</f>
        <v>0</v>
      </c>
      <c r="AG31" s="470">
        <f ca="1">บช.ก.!$D$31</f>
        <v>0</v>
      </c>
      <c r="AH31" s="415">
        <f ca="1">AF31*3</f>
        <v>0</v>
      </c>
      <c r="AI31" s="471">
        <f ca="1">บช.สอท.!$B$31</f>
        <v>1</v>
      </c>
      <c r="AJ31" s="472">
        <f ca="1">บช.สอท.!$C$31</f>
        <v>1</v>
      </c>
      <c r="AK31" s="416">
        <f ca="1">AI31*3</f>
        <v>3</v>
      </c>
      <c r="AL31" s="469">
        <f ca="1">บช.ปส.!$B$31</f>
        <v>0</v>
      </c>
      <c r="AM31" s="470">
        <f ca="1">บช.ปส.!$C$31</f>
        <v>0</v>
      </c>
      <c r="AN31" s="415">
        <f ca="1">AL31*3</f>
        <v>0</v>
      </c>
      <c r="AO31" s="471">
        <f ca="1">สตม.!$B$31</f>
        <v>0</v>
      </c>
      <c r="AP31" s="472">
        <f ca="1">สตม.!$C$31</f>
        <v>0</v>
      </c>
      <c r="AQ31" s="416">
        <f ca="1">AO31*3</f>
        <v>0</v>
      </c>
      <c r="AR31" s="469">
        <f ca="1">บช.ทท.!$B$31</f>
        <v>0</v>
      </c>
      <c r="AS31" s="470">
        <f ca="1">บช.ทท.!$C$31</f>
        <v>0</v>
      </c>
      <c r="AT31" s="415">
        <f ca="1">AR31*3</f>
        <v>0</v>
      </c>
      <c r="AU31" s="416">
        <f ca="1">บช.ตชด.!$B$31</f>
        <v>0</v>
      </c>
      <c r="AV31" s="472">
        <f ca="1">บช.ตชด.!$C$31</f>
        <v>0</v>
      </c>
      <c r="AW31" s="416">
        <f ca="1">AU31*3</f>
        <v>0</v>
      </c>
      <c r="AX31" s="481">
        <f ca="1">SUM(B31,E31,H31,K31,N31,Q31,T31,W31,Z31,AC31,AF31,AI31,AL31,AO31,AR31,AU31)</f>
        <v>6</v>
      </c>
      <c r="AY31" s="482">
        <f ca="1">SUM(C31,F31,I31,L31,O31,R31,U31,X31,AA31,AD31,AG31,AJ31,AM31,AP31,AS31,AV31)</f>
        <v>8</v>
      </c>
      <c r="AZ31" s="483"/>
      <c r="BA31" s="483"/>
      <c r="BB31" s="483"/>
      <c r="BC31" s="483"/>
      <c r="BD31" s="483"/>
      <c r="BE31" s="483"/>
      <c r="BF31" s="483"/>
      <c r="BG31" s="483"/>
      <c r="BH31" s="483"/>
      <c r="BI31" s="483"/>
      <c r="BJ31" s="483"/>
      <c r="BK31" s="483"/>
      <c r="BL31" s="483"/>
      <c r="BM31" s="483"/>
      <c r="BN31" s="483"/>
      <c r="BO31" s="483"/>
      <c r="BP31" s="483"/>
      <c r="BQ31" s="483"/>
      <c r="BR31" s="483"/>
      <c r="BS31" s="483"/>
      <c r="BT31" s="483"/>
      <c r="BU31" s="483"/>
      <c r="BV31" s="483"/>
      <c r="BW31" s="483"/>
      <c r="BX31" s="483"/>
      <c r="BY31" s="483"/>
      <c r="BZ31" s="483"/>
      <c r="CA31" s="483"/>
      <c r="CB31" s="483"/>
    </row>
    <row r="32" spans="1:80" s="451" customFormat="1">
      <c r="A32" s="468" t="s">
        <v>47</v>
      </c>
      <c r="B32" s="469">
        <f ca="1">บช.น.!$B$32</f>
        <v>16</v>
      </c>
      <c r="C32" s="470">
        <f ca="1">บช.น.!$C$32</f>
        <v>17</v>
      </c>
      <c r="D32" s="415">
        <f ca="1">B32*2</f>
        <v>32</v>
      </c>
      <c r="E32" s="471">
        <f ca="1">ภ.1!$B$32</f>
        <v>73</v>
      </c>
      <c r="F32" s="472">
        <f ca="1">ภ.1!$C$32</f>
        <v>73</v>
      </c>
      <c r="G32" s="416">
        <f ca="1">E32*2</f>
        <v>146</v>
      </c>
      <c r="H32" s="469">
        <f ca="1">ภ.2!$B$32</f>
        <v>83</v>
      </c>
      <c r="I32" s="470">
        <f ca="1">ภ.2!$C$32</f>
        <v>83</v>
      </c>
      <c r="J32" s="415">
        <f ca="1">H32*2</f>
        <v>166</v>
      </c>
      <c r="K32" s="471">
        <f ca="1">ภ.3!$B$32</f>
        <v>64</v>
      </c>
      <c r="L32" s="472">
        <f ca="1">ภ.3!$C$32</f>
        <v>65</v>
      </c>
      <c r="M32" s="416">
        <f ca="1">K32*2</f>
        <v>128</v>
      </c>
      <c r="N32" s="469">
        <f ca="1">ภ.4!$B$32</f>
        <v>239</v>
      </c>
      <c r="O32" s="470">
        <f ca="1">ภ.4!$C$32</f>
        <v>234</v>
      </c>
      <c r="P32" s="415">
        <f ca="1">N32*2</f>
        <v>478</v>
      </c>
      <c r="Q32" s="471">
        <f ca="1">ภ.5!$B$32</f>
        <v>29</v>
      </c>
      <c r="R32" s="472">
        <f ca="1">ภ.5!$C$32</f>
        <v>23</v>
      </c>
      <c r="S32" s="416">
        <f ca="1">Q32*2</f>
        <v>58</v>
      </c>
      <c r="T32" s="469">
        <f ca="1">ภ.6!$B$32</f>
        <v>58</v>
      </c>
      <c r="U32" s="470">
        <f ca="1">ภ.6!$C$32</f>
        <v>57</v>
      </c>
      <c r="V32" s="415">
        <f ca="1">T32*2</f>
        <v>116</v>
      </c>
      <c r="W32" s="471">
        <f ca="1">ภ.7!$B$32</f>
        <v>127</v>
      </c>
      <c r="X32" s="472">
        <f ca="1">ภ.7!$C$32</f>
        <v>127</v>
      </c>
      <c r="Y32" s="416">
        <f ca="1">W32*2</f>
        <v>254</v>
      </c>
      <c r="Z32" s="469">
        <f ca="1">ภ.8!$B$32</f>
        <v>47</v>
      </c>
      <c r="AA32" s="470">
        <f ca="1">ภ.8!$C$32</f>
        <v>44</v>
      </c>
      <c r="AB32" s="415">
        <f ca="1">Z32*2</f>
        <v>94</v>
      </c>
      <c r="AC32" s="471">
        <f ca="1">ภ.9!$B$32</f>
        <v>24</v>
      </c>
      <c r="AD32" s="472">
        <f ca="1">ภ.9!$C$32</f>
        <v>25</v>
      </c>
      <c r="AE32" s="416">
        <f ca="1">AC32*2</f>
        <v>48</v>
      </c>
      <c r="AF32" s="469">
        <f ca="1">บช.ก.!$C$32</f>
        <v>25</v>
      </c>
      <c r="AG32" s="470">
        <f ca="1">บช.ก.!$D$32</f>
        <v>24</v>
      </c>
      <c r="AH32" s="415">
        <f ca="1">AF32*2</f>
        <v>50</v>
      </c>
      <c r="AI32" s="471">
        <f ca="1">บช.สอท.!$B$32</f>
        <v>16</v>
      </c>
      <c r="AJ32" s="472">
        <f ca="1">บช.สอท.!$C$32</f>
        <v>16</v>
      </c>
      <c r="AK32" s="416">
        <f ca="1">AI32*2</f>
        <v>32</v>
      </c>
      <c r="AL32" s="469">
        <f ca="1">บช.ปส.!$B$32</f>
        <v>1</v>
      </c>
      <c r="AM32" s="470">
        <f ca="1">บช.ปส.!$C$32</f>
        <v>1</v>
      </c>
      <c r="AN32" s="415">
        <f ca="1">AL32*2</f>
        <v>2</v>
      </c>
      <c r="AO32" s="471">
        <f ca="1">สตม.!$B$32</f>
        <v>23</v>
      </c>
      <c r="AP32" s="472">
        <f ca="1">สตม.!$C$32</f>
        <v>23</v>
      </c>
      <c r="AQ32" s="416">
        <f ca="1">AO32*2</f>
        <v>46</v>
      </c>
      <c r="AR32" s="469">
        <f ca="1">บช.ทท.!$B$32</f>
        <v>4</v>
      </c>
      <c r="AS32" s="470">
        <f ca="1">บช.ทท.!$C$32</f>
        <v>4</v>
      </c>
      <c r="AT32" s="415">
        <f ca="1">AR32*2</f>
        <v>8</v>
      </c>
      <c r="AU32" s="416">
        <f ca="1">บช.ตชด.!$B$32</f>
        <v>5</v>
      </c>
      <c r="AV32" s="472">
        <f ca="1">บช.ตชด.!$C$32</f>
        <v>6</v>
      </c>
      <c r="AW32" s="416">
        <f ca="1">AU32*2</f>
        <v>10</v>
      </c>
      <c r="AX32" s="473">
        <f t="shared" ref="AX32:AY35" ca="1" si="19">SUM(B32,E32,H32,K32,N32,Q32,T32,W32,Z32,AC32,AF32,AI32,AL32,AO32,AR32,AU32)</f>
        <v>834</v>
      </c>
      <c r="AY32" s="474">
        <f t="shared" ca="1" si="19"/>
        <v>822</v>
      </c>
      <c r="AZ32" s="483"/>
      <c r="BA32" s="483"/>
      <c r="BB32" s="483"/>
      <c r="BC32" s="483"/>
      <c r="BD32" s="483"/>
      <c r="BE32" s="483"/>
      <c r="BF32" s="483"/>
      <c r="BG32" s="483"/>
      <c r="BH32" s="483"/>
      <c r="BI32" s="483"/>
      <c r="BJ32" s="483"/>
      <c r="BK32" s="483"/>
      <c r="BL32" s="483"/>
      <c r="BM32" s="483"/>
      <c r="BN32" s="483"/>
      <c r="BO32" s="483"/>
      <c r="BP32" s="483"/>
      <c r="BQ32" s="483"/>
      <c r="BR32" s="483"/>
      <c r="BS32" s="483"/>
      <c r="BT32" s="483"/>
      <c r="BU32" s="483"/>
      <c r="BV32" s="483"/>
      <c r="BW32" s="483"/>
      <c r="BX32" s="483"/>
      <c r="BY32" s="483"/>
      <c r="BZ32" s="483"/>
      <c r="CA32" s="483"/>
      <c r="CB32" s="483"/>
    </row>
    <row r="33" spans="1:80" s="451" customFormat="1">
      <c r="A33" s="468" t="s">
        <v>48</v>
      </c>
      <c r="B33" s="469">
        <f ca="1">บช.น.!$B$33</f>
        <v>1</v>
      </c>
      <c r="C33" s="470">
        <f ca="1">บช.น.!$C$33</f>
        <v>1</v>
      </c>
      <c r="D33" s="415">
        <f ca="1">B33*1</f>
        <v>1</v>
      </c>
      <c r="E33" s="471">
        <f ca="1">ภ.1!$B$33</f>
        <v>92</v>
      </c>
      <c r="F33" s="472">
        <f ca="1">ภ.1!$C$33</f>
        <v>93</v>
      </c>
      <c r="G33" s="416">
        <f ca="1">E33*1</f>
        <v>92</v>
      </c>
      <c r="H33" s="469">
        <f ca="1">ภ.2!$B$33</f>
        <v>8</v>
      </c>
      <c r="I33" s="470">
        <f ca="1">ภ.2!$C$33</f>
        <v>8</v>
      </c>
      <c r="J33" s="415">
        <f ca="1">H33*1</f>
        <v>8</v>
      </c>
      <c r="K33" s="471">
        <f ca="1">ภ.3!$B$33</f>
        <v>1</v>
      </c>
      <c r="L33" s="472">
        <f ca="1">ภ.3!$C$33</f>
        <v>1</v>
      </c>
      <c r="M33" s="416">
        <f ca="1">K33*1</f>
        <v>1</v>
      </c>
      <c r="N33" s="469">
        <f ca="1">ภ.4!$B$33</f>
        <v>10</v>
      </c>
      <c r="O33" s="470">
        <f ca="1">ภ.4!$C$33</f>
        <v>10</v>
      </c>
      <c r="P33" s="415">
        <f ca="1">N33*1</f>
        <v>10</v>
      </c>
      <c r="Q33" s="471">
        <f ca="1">ภ.5!$B$33</f>
        <v>1</v>
      </c>
      <c r="R33" s="472">
        <f ca="1">ภ.5!$C$33</f>
        <v>1</v>
      </c>
      <c r="S33" s="416">
        <f ca="1">Q33*1</f>
        <v>1</v>
      </c>
      <c r="T33" s="469">
        <f ca="1">ภ.6!$B$33</f>
        <v>10</v>
      </c>
      <c r="U33" s="470">
        <f ca="1">ภ.6!$C$33</f>
        <v>11</v>
      </c>
      <c r="V33" s="415">
        <f ca="1">T33*1</f>
        <v>10</v>
      </c>
      <c r="W33" s="471">
        <f ca="1">ภ.7!$B$33</f>
        <v>33</v>
      </c>
      <c r="X33" s="472">
        <f ca="1">ภ.7!$C$33</f>
        <v>32</v>
      </c>
      <c r="Y33" s="416">
        <f ca="1">W33*1</f>
        <v>33</v>
      </c>
      <c r="Z33" s="469">
        <f ca="1">ภ.8!$B$33</f>
        <v>15</v>
      </c>
      <c r="AA33" s="470">
        <f ca="1">ภ.8!$C$33</f>
        <v>15</v>
      </c>
      <c r="AB33" s="415">
        <f ca="1">Z33*1</f>
        <v>15</v>
      </c>
      <c r="AC33" s="471">
        <f ca="1">ภ.9!$B$33</f>
        <v>9</v>
      </c>
      <c r="AD33" s="472">
        <f ca="1">ภ.9!$C$33</f>
        <v>9</v>
      </c>
      <c r="AE33" s="416">
        <f ca="1">AC33*1</f>
        <v>9</v>
      </c>
      <c r="AF33" s="469">
        <f ca="1">บช.ก.!$C$33</f>
        <v>1</v>
      </c>
      <c r="AG33" s="470">
        <f ca="1">บช.ก.!$D$33</f>
        <v>1</v>
      </c>
      <c r="AH33" s="415">
        <f ca="1">AF33*1</f>
        <v>1</v>
      </c>
      <c r="AI33" s="471">
        <f ca="1">บช.สอท.!$B$33</f>
        <v>0</v>
      </c>
      <c r="AJ33" s="472">
        <f ca="1">บช.สอท.!$C$33</f>
        <v>0</v>
      </c>
      <c r="AK33" s="416">
        <f ca="1">AI33*1</f>
        <v>0</v>
      </c>
      <c r="AL33" s="469">
        <f ca="1">บช.ปส.!$B$33</f>
        <v>0</v>
      </c>
      <c r="AM33" s="470">
        <f ca="1">บช.ปส.!$C$33</f>
        <v>0</v>
      </c>
      <c r="AN33" s="415">
        <f ca="1">AL33*1</f>
        <v>0</v>
      </c>
      <c r="AO33" s="471">
        <f ca="1">สตม.!$B$33</f>
        <v>1</v>
      </c>
      <c r="AP33" s="472">
        <f ca="1">สตม.!$C$33</f>
        <v>1</v>
      </c>
      <c r="AQ33" s="416">
        <f ca="1">AO33*1</f>
        <v>1</v>
      </c>
      <c r="AR33" s="469">
        <f ca="1">บช.ทท.!$B$33</f>
        <v>2</v>
      </c>
      <c r="AS33" s="470">
        <f ca="1">บช.ทท.!$C$33</f>
        <v>2</v>
      </c>
      <c r="AT33" s="415">
        <f ca="1">AR33*1</f>
        <v>2</v>
      </c>
      <c r="AU33" s="416">
        <f ca="1">บช.ตชด.!$B$33</f>
        <v>2</v>
      </c>
      <c r="AV33" s="472">
        <f ca="1">บช.ตชด.!$C$33</f>
        <v>2</v>
      </c>
      <c r="AW33" s="416">
        <f ca="1">AU33*1</f>
        <v>2</v>
      </c>
      <c r="AX33" s="473">
        <f t="shared" ca="1" si="19"/>
        <v>186</v>
      </c>
      <c r="AY33" s="474">
        <f t="shared" ca="1" si="19"/>
        <v>187</v>
      </c>
      <c r="AZ33" s="483"/>
      <c r="BA33" s="483"/>
      <c r="BB33" s="483"/>
      <c r="BC33" s="483"/>
      <c r="BD33" s="483"/>
      <c r="BE33" s="483"/>
      <c r="BF33" s="483"/>
      <c r="BG33" s="483"/>
      <c r="BH33" s="483"/>
      <c r="BI33" s="483"/>
      <c r="BJ33" s="483"/>
      <c r="BK33" s="483"/>
      <c r="BL33" s="483"/>
      <c r="BM33" s="483"/>
      <c r="BN33" s="483"/>
      <c r="BO33" s="483"/>
      <c r="BP33" s="483"/>
      <c r="BQ33" s="483"/>
      <c r="BR33" s="483"/>
      <c r="BS33" s="483"/>
      <c r="BT33" s="483"/>
      <c r="BU33" s="483"/>
      <c r="BV33" s="483"/>
      <c r="BW33" s="483"/>
      <c r="BX33" s="483"/>
      <c r="BY33" s="483"/>
      <c r="BZ33" s="483"/>
      <c r="CA33" s="483"/>
      <c r="CB33" s="483"/>
    </row>
    <row r="34" spans="1:80" s="451" customFormat="1">
      <c r="A34" s="468" t="s">
        <v>49</v>
      </c>
      <c r="B34" s="469">
        <f ca="1">บช.น.!$B$34</f>
        <v>4</v>
      </c>
      <c r="C34" s="470">
        <f ca="1">บช.น.!$C$34</f>
        <v>4</v>
      </c>
      <c r="D34" s="415">
        <f ca="1">B34*5</f>
        <v>20</v>
      </c>
      <c r="E34" s="471">
        <f ca="1">ภ.1!$B$34</f>
        <v>4</v>
      </c>
      <c r="F34" s="472">
        <f ca="1">ภ.1!$C$34</f>
        <v>4</v>
      </c>
      <c r="G34" s="416">
        <f ca="1">E34*5</f>
        <v>20</v>
      </c>
      <c r="H34" s="469">
        <f ca="1">ภ.2!$B$34</f>
        <v>2</v>
      </c>
      <c r="I34" s="470">
        <f ca="1">ภ.2!$C$34</f>
        <v>2</v>
      </c>
      <c r="J34" s="415">
        <f ca="1">H34*5</f>
        <v>10</v>
      </c>
      <c r="K34" s="471">
        <f ca="1">ภ.3!$B$34</f>
        <v>0</v>
      </c>
      <c r="L34" s="472">
        <f ca="1">ภ.3!$C$34</f>
        <v>0</v>
      </c>
      <c r="M34" s="416">
        <f ca="1">K34*5</f>
        <v>0</v>
      </c>
      <c r="N34" s="469">
        <f ca="1">ภ.4!$B$34</f>
        <v>1</v>
      </c>
      <c r="O34" s="470">
        <f ca="1">ภ.4!$C$34</f>
        <v>1</v>
      </c>
      <c r="P34" s="415">
        <f ca="1">N34*5</f>
        <v>5</v>
      </c>
      <c r="Q34" s="471">
        <f ca="1">ภ.5!$B$34</f>
        <v>0</v>
      </c>
      <c r="R34" s="472">
        <f ca="1">ภ.5!$C$34</f>
        <v>0</v>
      </c>
      <c r="S34" s="416">
        <f ca="1">Q34*5</f>
        <v>0</v>
      </c>
      <c r="T34" s="469">
        <f ca="1">ภ.6!$B$34</f>
        <v>0</v>
      </c>
      <c r="U34" s="470">
        <f ca="1">ภ.6!$C$34</f>
        <v>0</v>
      </c>
      <c r="V34" s="415">
        <f ca="1">T34*5</f>
        <v>0</v>
      </c>
      <c r="W34" s="471">
        <f ca="1">ภ.7!$B$34</f>
        <v>0</v>
      </c>
      <c r="X34" s="472">
        <f ca="1">ภ.7!$C$34</f>
        <v>0</v>
      </c>
      <c r="Y34" s="416">
        <f ca="1">W34*5</f>
        <v>0</v>
      </c>
      <c r="Z34" s="469">
        <f ca="1">ภ.8!$B$34</f>
        <v>0</v>
      </c>
      <c r="AA34" s="470">
        <f ca="1">ภ.8!$C$34</f>
        <v>0</v>
      </c>
      <c r="AB34" s="415">
        <f ca="1">Z34*5</f>
        <v>0</v>
      </c>
      <c r="AC34" s="471">
        <f ca="1">ภ.9!$B$34</f>
        <v>3</v>
      </c>
      <c r="AD34" s="472">
        <f ca="1">ภ.9!$C$34</f>
        <v>3</v>
      </c>
      <c r="AE34" s="416">
        <f ca="1">AC34*5</f>
        <v>15</v>
      </c>
      <c r="AF34" s="469">
        <f ca="1">บช.ก.!$C$34</f>
        <v>0</v>
      </c>
      <c r="AG34" s="470">
        <f ca="1">บช.ก.!$D$34</f>
        <v>0</v>
      </c>
      <c r="AH34" s="415">
        <f ca="1">AF34*5</f>
        <v>0</v>
      </c>
      <c r="AI34" s="471">
        <f ca="1">บช.สอท.!$B$34</f>
        <v>0</v>
      </c>
      <c r="AJ34" s="472">
        <f ca="1">บช.สอท.!$C$34</f>
        <v>0</v>
      </c>
      <c r="AK34" s="416">
        <f ca="1">AI34*5</f>
        <v>0</v>
      </c>
      <c r="AL34" s="469">
        <f ca="1">บช.ปส.!$B$34</f>
        <v>0</v>
      </c>
      <c r="AM34" s="470">
        <f ca="1">บช.ปส.!$C$34</f>
        <v>0</v>
      </c>
      <c r="AN34" s="415">
        <f ca="1">AL34*5</f>
        <v>0</v>
      </c>
      <c r="AO34" s="471">
        <f ca="1">สตม.!$B$34</f>
        <v>0</v>
      </c>
      <c r="AP34" s="472">
        <f ca="1">สตม.!$C$34</f>
        <v>0</v>
      </c>
      <c r="AQ34" s="416">
        <f ca="1">AO34*5</f>
        <v>0</v>
      </c>
      <c r="AR34" s="469">
        <f ca="1">บช.ทท.!$B$34</f>
        <v>0</v>
      </c>
      <c r="AS34" s="470">
        <f ca="1">บช.ทท.!$C$34</f>
        <v>0</v>
      </c>
      <c r="AT34" s="415">
        <f ca="1">AR34*5</f>
        <v>0</v>
      </c>
      <c r="AU34" s="416">
        <f ca="1">บช.ตชด.!$B$34</f>
        <v>0</v>
      </c>
      <c r="AV34" s="472">
        <f ca="1">บช.ตชด.!$C$34</f>
        <v>0</v>
      </c>
      <c r="AW34" s="416">
        <f ca="1">AU34*5</f>
        <v>0</v>
      </c>
      <c r="AX34" s="473">
        <f t="shared" ca="1" si="19"/>
        <v>14</v>
      </c>
      <c r="AY34" s="474">
        <f t="shared" ca="1" si="19"/>
        <v>14</v>
      </c>
      <c r="AZ34" s="483"/>
      <c r="BA34" s="483"/>
      <c r="BB34" s="483"/>
      <c r="BC34" s="483"/>
      <c r="BD34" s="483"/>
      <c r="BE34" s="483"/>
      <c r="BF34" s="483"/>
      <c r="BG34" s="483"/>
      <c r="BH34" s="483"/>
      <c r="BI34" s="483"/>
      <c r="BJ34" s="483"/>
      <c r="BK34" s="483"/>
      <c r="BL34" s="483"/>
      <c r="BM34" s="483"/>
      <c r="BN34" s="483"/>
      <c r="BO34" s="483"/>
      <c r="BP34" s="483"/>
      <c r="BQ34" s="483"/>
      <c r="BR34" s="483"/>
      <c r="BS34" s="483"/>
      <c r="BT34" s="483"/>
      <c r="BU34" s="483"/>
      <c r="BV34" s="483"/>
      <c r="BW34" s="483"/>
      <c r="BX34" s="483"/>
      <c r="BY34" s="483"/>
      <c r="BZ34" s="483"/>
      <c r="CA34" s="483"/>
      <c r="CB34" s="483"/>
    </row>
    <row r="35" spans="1:80" s="451" customFormat="1" ht="28.5" thickBot="1">
      <c r="A35" s="484" t="s">
        <v>50</v>
      </c>
      <c r="B35" s="485">
        <f ca="1">บช.น.!$B$35</f>
        <v>0</v>
      </c>
      <c r="C35" s="486">
        <f ca="1">บช.น.!$C$35</f>
        <v>0</v>
      </c>
      <c r="D35" s="487">
        <f ca="1">B35*0.5</f>
        <v>0</v>
      </c>
      <c r="E35" s="488">
        <f ca="1">ภ.1!$B$35</f>
        <v>10</v>
      </c>
      <c r="F35" s="489">
        <f ca="1">ภ.1!$C$35</f>
        <v>10</v>
      </c>
      <c r="G35" s="490">
        <f ca="1">E35*0.5</f>
        <v>5</v>
      </c>
      <c r="H35" s="485">
        <f ca="1">ภ.2!$B$35</f>
        <v>31</v>
      </c>
      <c r="I35" s="486">
        <f ca="1">ภ.2!$C$35</f>
        <v>31</v>
      </c>
      <c r="J35" s="487">
        <f ca="1">H35*0.5</f>
        <v>15.5</v>
      </c>
      <c r="K35" s="488">
        <f ca="1">ภ.3!$B$35</f>
        <v>67</v>
      </c>
      <c r="L35" s="489">
        <f ca="1">ภ.3!$C$35</f>
        <v>67</v>
      </c>
      <c r="M35" s="490">
        <f ca="1">K35*0.5</f>
        <v>33.5</v>
      </c>
      <c r="N35" s="485">
        <f ca="1">ภ.4!$B$35</f>
        <v>31</v>
      </c>
      <c r="O35" s="486">
        <f ca="1">ภ.4!$C$35</f>
        <v>31</v>
      </c>
      <c r="P35" s="487">
        <f ca="1">N35*0.5</f>
        <v>15.5</v>
      </c>
      <c r="Q35" s="488">
        <f ca="1">ภ.5!$B$35</f>
        <v>16</v>
      </c>
      <c r="R35" s="489">
        <f ca="1">ภ.5!$C$35</f>
        <v>6</v>
      </c>
      <c r="S35" s="490">
        <f ca="1">Q35*0.5</f>
        <v>8</v>
      </c>
      <c r="T35" s="485">
        <f ca="1">ภ.6!$B$35</f>
        <v>11</v>
      </c>
      <c r="U35" s="486">
        <f ca="1">ภ.6!$C$35</f>
        <v>10</v>
      </c>
      <c r="V35" s="487">
        <f ca="1">T35*0.5</f>
        <v>5.5</v>
      </c>
      <c r="W35" s="488">
        <f ca="1">ภ.7!$B$35</f>
        <v>10</v>
      </c>
      <c r="X35" s="489">
        <f ca="1">ภ.7!$C$35</f>
        <v>9</v>
      </c>
      <c r="Y35" s="490">
        <f ca="1">W35*0.5</f>
        <v>5</v>
      </c>
      <c r="Z35" s="485">
        <f ca="1">ภ.8!$B$35</f>
        <v>54</v>
      </c>
      <c r="AA35" s="486">
        <f ca="1">ภ.8!$C$35</f>
        <v>53</v>
      </c>
      <c r="AB35" s="487">
        <f ca="1">Z35*0.5</f>
        <v>27</v>
      </c>
      <c r="AC35" s="488">
        <f ca="1">ภ.9!$B$35</f>
        <v>87</v>
      </c>
      <c r="AD35" s="489">
        <f ca="1">ภ.9!$C$35</f>
        <v>87</v>
      </c>
      <c r="AE35" s="490">
        <f ca="1">AC35*0.5</f>
        <v>43.5</v>
      </c>
      <c r="AF35" s="485">
        <f ca="1">บช.ก.!$C$35</f>
        <v>2</v>
      </c>
      <c r="AG35" s="486">
        <f ca="1">บช.ก.!$D$35</f>
        <v>2</v>
      </c>
      <c r="AH35" s="487">
        <f ca="1">AF35*0.5</f>
        <v>1</v>
      </c>
      <c r="AI35" s="488">
        <f ca="1">บช.สอท.!$B$35</f>
        <v>0</v>
      </c>
      <c r="AJ35" s="489">
        <f ca="1">บช.สอท.!$C$35</f>
        <v>0</v>
      </c>
      <c r="AK35" s="490">
        <f ca="1">AI35*0.5</f>
        <v>0</v>
      </c>
      <c r="AL35" s="485">
        <f ca="1">บช.ปส.!$B$35</f>
        <v>0</v>
      </c>
      <c r="AM35" s="486">
        <f ca="1">บช.ปส.!$C$35</f>
        <v>0</v>
      </c>
      <c r="AN35" s="487">
        <f ca="1">AL35*0.5</f>
        <v>0</v>
      </c>
      <c r="AO35" s="488">
        <f ca="1">สตม.!$B$35</f>
        <v>2</v>
      </c>
      <c r="AP35" s="489">
        <f ca="1">สตม.!$C$35</f>
        <v>2</v>
      </c>
      <c r="AQ35" s="490">
        <f ca="1">AO35*0.5</f>
        <v>1</v>
      </c>
      <c r="AR35" s="485">
        <f ca="1">บช.ทท.!$B$35</f>
        <v>5</v>
      </c>
      <c r="AS35" s="486">
        <f ca="1">บช.ทท.!$C$35</f>
        <v>5</v>
      </c>
      <c r="AT35" s="487">
        <f ca="1">AR35*0.5</f>
        <v>2.5</v>
      </c>
      <c r="AU35" s="490">
        <f ca="1">บช.ตชด.!$B$35</f>
        <v>0</v>
      </c>
      <c r="AV35" s="489">
        <f ca="1">บช.ตชด.!$C$35</f>
        <v>0</v>
      </c>
      <c r="AW35" s="490">
        <f ca="1">AU35*0.5</f>
        <v>0</v>
      </c>
      <c r="AX35" s="498">
        <f t="shared" ca="1" si="19"/>
        <v>326</v>
      </c>
      <c r="AY35" s="499">
        <f t="shared" ca="1" si="19"/>
        <v>313</v>
      </c>
      <c r="AZ35" s="483"/>
      <c r="BA35" s="483"/>
      <c r="BB35" s="483"/>
      <c r="BC35" s="483"/>
      <c r="BD35" s="483"/>
      <c r="BE35" s="483"/>
      <c r="BF35" s="483"/>
      <c r="BG35" s="483"/>
      <c r="BH35" s="483"/>
      <c r="BI35" s="483"/>
      <c r="BJ35" s="483"/>
      <c r="BK35" s="483"/>
      <c r="BL35" s="483"/>
      <c r="BM35" s="483"/>
      <c r="BN35" s="483"/>
      <c r="BO35" s="483"/>
      <c r="BP35" s="483"/>
      <c r="BQ35" s="483"/>
      <c r="BR35" s="483"/>
      <c r="BS35" s="483"/>
      <c r="BT35" s="483"/>
      <c r="BU35" s="483"/>
      <c r="BV35" s="483"/>
      <c r="BW35" s="483"/>
      <c r="BX35" s="483"/>
      <c r="BY35" s="483"/>
      <c r="BZ35" s="483"/>
      <c r="CA35" s="483"/>
      <c r="CB35" s="483"/>
    </row>
    <row r="36" spans="1:80" s="424" customFormat="1" ht="28.5" thickBot="1">
      <c r="A36" s="427" t="s">
        <v>32</v>
      </c>
      <c r="B36" s="428">
        <f ca="1">บช.น.!$B$36</f>
        <v>24</v>
      </c>
      <c r="C36" s="429">
        <f ca="1">บช.น.!$C$36</f>
        <v>27</v>
      </c>
      <c r="D36" s="428">
        <f ca="1">SUM(D31:D35)</f>
        <v>62</v>
      </c>
      <c r="E36" s="428">
        <f ca="1">ภ.1!$B$36</f>
        <v>179</v>
      </c>
      <c r="F36" s="429">
        <f ca="1">ภ.1!$C$36</f>
        <v>180</v>
      </c>
      <c r="G36" s="428">
        <f ca="1">SUM(G31:G35)</f>
        <v>263</v>
      </c>
      <c r="H36" s="428">
        <f ca="1">ภ.2!$B$36</f>
        <v>125</v>
      </c>
      <c r="I36" s="429">
        <f ca="1">ภ.2!$C$36</f>
        <v>125</v>
      </c>
      <c r="J36" s="428">
        <f ca="1">SUM(J31:J35)</f>
        <v>202.5</v>
      </c>
      <c r="K36" s="428">
        <f ca="1">ภ.3!$B$36</f>
        <v>132</v>
      </c>
      <c r="L36" s="429">
        <f ca="1">ภ.3!$C$36</f>
        <v>133</v>
      </c>
      <c r="M36" s="428">
        <f ca="1">SUM(M31:M35)</f>
        <v>162.5</v>
      </c>
      <c r="N36" s="428">
        <f ca="1">ภ.4!$B$36</f>
        <v>282</v>
      </c>
      <c r="O36" s="429">
        <f ca="1">ภ.4!$C$36</f>
        <v>277</v>
      </c>
      <c r="P36" s="428">
        <f ca="1">SUM(P31:P35)</f>
        <v>511.5</v>
      </c>
      <c r="Q36" s="428">
        <f ca="1">ภ.5!$B$36</f>
        <v>46</v>
      </c>
      <c r="R36" s="429">
        <f ca="1">ภ.5!$C$36</f>
        <v>30</v>
      </c>
      <c r="S36" s="428">
        <f ca="1">SUM(S31:S35)</f>
        <v>67</v>
      </c>
      <c r="T36" s="428">
        <f ca="1">ภ.6!$B$36</f>
        <v>79</v>
      </c>
      <c r="U36" s="429">
        <f ca="1">ภ.6!$C$36</f>
        <v>78</v>
      </c>
      <c r="V36" s="428">
        <f ca="1">SUM(V31:V35)</f>
        <v>131.5</v>
      </c>
      <c r="W36" s="428">
        <f ca="1">ภ.7!$B$36</f>
        <v>170</v>
      </c>
      <c r="X36" s="429">
        <f ca="1">ภ.7!$C$36</f>
        <v>168</v>
      </c>
      <c r="Y36" s="428">
        <f ca="1">SUM(Y31:Y35)</f>
        <v>292</v>
      </c>
      <c r="Z36" s="428">
        <f ca="1">ภ.8!$B$36</f>
        <v>116</v>
      </c>
      <c r="AA36" s="429">
        <f ca="1">ภ.8!$C$36</f>
        <v>112</v>
      </c>
      <c r="AB36" s="428">
        <f ca="1">SUM(AB31:AB35)</f>
        <v>136</v>
      </c>
      <c r="AC36" s="428">
        <f ca="1">ภ.9!$B$36</f>
        <v>123</v>
      </c>
      <c r="AD36" s="429">
        <f ca="1">ภ.9!$C$36</f>
        <v>124</v>
      </c>
      <c r="AE36" s="428">
        <f ca="1">SUM(AE31:AE35)</f>
        <v>115.5</v>
      </c>
      <c r="AF36" s="428">
        <f ca="1">บช.ก.!$C$36</f>
        <v>28</v>
      </c>
      <c r="AG36" s="429">
        <f ca="1">บช.ก.!$D$36</f>
        <v>27</v>
      </c>
      <c r="AH36" s="428">
        <f ca="1">SUM(AH31:AH35)</f>
        <v>52</v>
      </c>
      <c r="AI36" s="428">
        <f ca="1">บช.สอท.!$B$36</f>
        <v>17</v>
      </c>
      <c r="AJ36" s="429">
        <f ca="1">บช.สอท.!$C$36</f>
        <v>17</v>
      </c>
      <c r="AK36" s="428">
        <f ca="1">SUM(AK31:AK35)</f>
        <v>35</v>
      </c>
      <c r="AL36" s="428">
        <f ca="1">บช.ปส.!$B$36</f>
        <v>1</v>
      </c>
      <c r="AM36" s="429">
        <f ca="1">บช.ปส.!$C$36</f>
        <v>1</v>
      </c>
      <c r="AN36" s="428">
        <f ca="1">SUM(AN31:AN35)</f>
        <v>2</v>
      </c>
      <c r="AO36" s="428">
        <f ca="1">สตม.!$B$36</f>
        <v>26</v>
      </c>
      <c r="AP36" s="429">
        <f ca="1">สตม.!$C$36</f>
        <v>26</v>
      </c>
      <c r="AQ36" s="428">
        <f ca="1">SUM(AQ31:AQ35)</f>
        <v>48</v>
      </c>
      <c r="AR36" s="428">
        <f ca="1">บช.ทท.!$B$36</f>
        <v>11</v>
      </c>
      <c r="AS36" s="429">
        <f ca="1">บช.ทท.!$C$36</f>
        <v>11</v>
      </c>
      <c r="AT36" s="428">
        <f ca="1">SUM(AT31:AT35)</f>
        <v>12.5</v>
      </c>
      <c r="AU36" s="430">
        <f ca="1">บช.ตชด.!$B$36</f>
        <v>7</v>
      </c>
      <c r="AV36" s="429">
        <f ca="1">บช.ตชด.!$C$36</f>
        <v>8</v>
      </c>
      <c r="AW36" s="430">
        <f ca="1">SUM(AW31:AW35)</f>
        <v>12</v>
      </c>
      <c r="AX36" s="456">
        <f ca="1">SUM(AX31:AX35)</f>
        <v>1366</v>
      </c>
      <c r="AY36" s="457">
        <f ca="1">SUM(AY31:AY35)</f>
        <v>1344</v>
      </c>
      <c r="AZ36" s="431"/>
      <c r="BA36" s="431"/>
      <c r="BB36" s="431"/>
      <c r="BC36" s="431"/>
      <c r="BD36" s="431"/>
      <c r="BE36" s="431"/>
      <c r="BF36" s="431"/>
      <c r="BG36" s="431"/>
      <c r="BH36" s="431"/>
      <c r="BI36" s="431"/>
      <c r="BJ36" s="431"/>
      <c r="BK36" s="431"/>
      <c r="BL36" s="431"/>
      <c r="BM36" s="431"/>
      <c r="BN36" s="431"/>
      <c r="BO36" s="431"/>
      <c r="BP36" s="431"/>
      <c r="BQ36" s="431"/>
      <c r="BR36" s="431"/>
      <c r="BS36" s="431"/>
      <c r="BT36" s="431"/>
      <c r="BU36" s="431"/>
      <c r="BV36" s="431"/>
      <c r="BW36" s="431"/>
      <c r="BX36" s="431"/>
      <c r="BY36" s="431"/>
      <c r="BZ36" s="431"/>
      <c r="CA36" s="431"/>
      <c r="CB36" s="431"/>
    </row>
    <row r="37" spans="1:80" s="451" customFormat="1" ht="28.5" thickBot="1">
      <c r="A37" s="500" t="s">
        <v>51</v>
      </c>
      <c r="B37" s="434">
        <f ca="1">บช.น.!$B$37</f>
        <v>1</v>
      </c>
      <c r="C37" s="435">
        <f ca="1">บช.น.!$C$37</f>
        <v>4</v>
      </c>
      <c r="D37" s="436">
        <f ca="1">B37*1</f>
        <v>1</v>
      </c>
      <c r="E37" s="437">
        <f ca="1">ภ.1!$B$37</f>
        <v>2</v>
      </c>
      <c r="F37" s="438">
        <f ca="1">ภ.1!$C$37</f>
        <v>2</v>
      </c>
      <c r="G37" s="439">
        <f ca="1">E37*1</f>
        <v>2</v>
      </c>
      <c r="H37" s="434">
        <f ca="1">ภ.2!$B$37</f>
        <v>13</v>
      </c>
      <c r="I37" s="435">
        <f ca="1">ภ.2!$C$37</f>
        <v>45</v>
      </c>
      <c r="J37" s="436">
        <f ca="1">H37*1</f>
        <v>13</v>
      </c>
      <c r="K37" s="437">
        <f ca="1">ภ.3!$B$37</f>
        <v>0</v>
      </c>
      <c r="L37" s="438">
        <f ca="1">ภ.3!$C$37</f>
        <v>0</v>
      </c>
      <c r="M37" s="439">
        <f ca="1">K37*1</f>
        <v>0</v>
      </c>
      <c r="N37" s="434">
        <f ca="1">ภ.4!$B$37</f>
        <v>8</v>
      </c>
      <c r="O37" s="435">
        <f ca="1">ภ.4!$C$37</f>
        <v>4</v>
      </c>
      <c r="P37" s="436">
        <f ca="1">N37*1</f>
        <v>8</v>
      </c>
      <c r="Q37" s="437">
        <f ca="1">ภ.5!$B$37</f>
        <v>0</v>
      </c>
      <c r="R37" s="438">
        <f ca="1">ภ.5!$C$37</f>
        <v>0</v>
      </c>
      <c r="S37" s="439">
        <f ca="1">Q37*1</f>
        <v>0</v>
      </c>
      <c r="T37" s="434">
        <f ca="1">ภ.6!$B$37</f>
        <v>0</v>
      </c>
      <c r="U37" s="435">
        <f ca="1">ภ.6!$C$37</f>
        <v>0</v>
      </c>
      <c r="V37" s="436">
        <f ca="1">T37*1</f>
        <v>0</v>
      </c>
      <c r="W37" s="437">
        <f ca="1">ภ.7!$B$37</f>
        <v>0</v>
      </c>
      <c r="X37" s="438">
        <f ca="1">ภ.7!$C$37</f>
        <v>0</v>
      </c>
      <c r="Y37" s="439">
        <f ca="1">W37*1</f>
        <v>0</v>
      </c>
      <c r="Z37" s="434">
        <f ca="1">ภ.8!$B$37</f>
        <v>3</v>
      </c>
      <c r="AA37" s="435">
        <f ca="1">ภ.8!$C$37</f>
        <v>3</v>
      </c>
      <c r="AB37" s="436">
        <f ca="1">Z37*1</f>
        <v>3</v>
      </c>
      <c r="AC37" s="437">
        <f ca="1">ภ.9!$B$37</f>
        <v>0</v>
      </c>
      <c r="AD37" s="438">
        <f ca="1">ภ.9!$C$37</f>
        <v>0</v>
      </c>
      <c r="AE37" s="439">
        <f ca="1">AC37*1</f>
        <v>0</v>
      </c>
      <c r="AF37" s="434">
        <f ca="1">บช.ก.!$C$37</f>
        <v>1</v>
      </c>
      <c r="AG37" s="435">
        <f ca="1">บช.ก.!$D$37</f>
        <v>4</v>
      </c>
      <c r="AH37" s="436">
        <f ca="1">AF37*1</f>
        <v>1</v>
      </c>
      <c r="AI37" s="437">
        <f ca="1">บช.สอท.!$B$37</f>
        <v>0</v>
      </c>
      <c r="AJ37" s="438">
        <f ca="1">บช.สอท.!$C$37</f>
        <v>0</v>
      </c>
      <c r="AK37" s="439">
        <f ca="1">AI37*1</f>
        <v>0</v>
      </c>
      <c r="AL37" s="434">
        <f ca="1">บช.ปส.!$B$37</f>
        <v>0</v>
      </c>
      <c r="AM37" s="435">
        <f ca="1">บช.ปส.!$C$37</f>
        <v>0</v>
      </c>
      <c r="AN37" s="436">
        <f ca="1">AL37*1</f>
        <v>0</v>
      </c>
      <c r="AO37" s="437">
        <f ca="1">สตม.!$B$37</f>
        <v>0</v>
      </c>
      <c r="AP37" s="438">
        <f ca="1">สตม.!$C$37</f>
        <v>0</v>
      </c>
      <c r="AQ37" s="439">
        <f ca="1">AO37*1</f>
        <v>0</v>
      </c>
      <c r="AR37" s="434">
        <f ca="1">บช.ทท.!$B$37</f>
        <v>0</v>
      </c>
      <c r="AS37" s="435">
        <f ca="1">บช.ทท.!$C$37</f>
        <v>0</v>
      </c>
      <c r="AT37" s="436">
        <f ca="1">AR37*1</f>
        <v>0</v>
      </c>
      <c r="AU37" s="440">
        <f ca="1">บช.ตชด.!$B$37</f>
        <v>0</v>
      </c>
      <c r="AV37" s="438">
        <f ca="1">บช.ตชด.!$C$37</f>
        <v>0</v>
      </c>
      <c r="AW37" s="439">
        <f ca="1">AU37*1</f>
        <v>0</v>
      </c>
      <c r="AX37" s="458">
        <f ca="1">SUM(B37,E37,H37,K37,N37,Q37,T37,W37,Z37,AC37,AF37,AI37,AL37,AO37,AR37,AU37)</f>
        <v>28</v>
      </c>
      <c r="AY37" s="459">
        <f ca="1">SUM(C37,F37,I37,L37,O37,R37,U37,X37,AA37,AD37,AG37,AJ37,AM37,AP37,AS37,AV37)</f>
        <v>62</v>
      </c>
      <c r="AZ37" s="480"/>
      <c r="BA37" s="480"/>
      <c r="BB37" s="480"/>
      <c r="BC37" s="480"/>
      <c r="BD37" s="480"/>
      <c r="BE37" s="480"/>
      <c r="BF37" s="480"/>
      <c r="BG37" s="480"/>
      <c r="BH37" s="480"/>
      <c r="BI37" s="480"/>
      <c r="BJ37" s="480"/>
      <c r="BK37" s="480"/>
      <c r="BL37" s="480"/>
      <c r="BM37" s="480"/>
      <c r="BN37" s="480"/>
      <c r="BO37" s="480"/>
      <c r="BP37" s="480"/>
      <c r="BQ37" s="480"/>
      <c r="BR37" s="480"/>
      <c r="BS37" s="480"/>
      <c r="BT37" s="480"/>
      <c r="BU37" s="480"/>
      <c r="BV37" s="480"/>
      <c r="BW37" s="480"/>
      <c r="BX37" s="480"/>
      <c r="BY37" s="480"/>
      <c r="BZ37" s="480"/>
      <c r="CA37" s="480"/>
      <c r="CB37" s="480"/>
    </row>
    <row r="38" spans="1:80" s="451" customFormat="1" ht="28.5" thickBot="1">
      <c r="A38" s="441" t="s">
        <v>113</v>
      </c>
      <c r="B38" s="442">
        <f ca="1">SUM(B15,B24,B29,B36,B37)</f>
        <v>530</v>
      </c>
      <c r="C38" s="443">
        <f ca="1">SUM(C15,C24,C29,C36,C37,C39)</f>
        <v>639</v>
      </c>
      <c r="D38" s="444">
        <f ca="1">SUM(D15,D24,D29,D36,D37,D39)</f>
        <v>2802.18</v>
      </c>
      <c r="E38" s="445">
        <f ca="1">SUM(E15,E24,E29,E36,E37)</f>
        <v>1127</v>
      </c>
      <c r="F38" s="446">
        <f ca="1">SUM(F15,F24,F29,F36,F37)</f>
        <v>1263</v>
      </c>
      <c r="G38" s="447">
        <f ca="1">SUM(G15,G24,G29,G36,G37,G39)</f>
        <v>5015.1499999999996</v>
      </c>
      <c r="H38" s="442">
        <f ca="1">SUM(H15,H24,H29,H36,H37)</f>
        <v>1358</v>
      </c>
      <c r="I38" s="443">
        <f ca="1">SUM(I15,I24,I29,I36,I37,I39)</f>
        <v>1525</v>
      </c>
      <c r="J38" s="448">
        <f ca="1">SUM(J15,J24,J29,J36,J37,J39)</f>
        <v>3666.98</v>
      </c>
      <c r="K38" s="442">
        <f ca="1">SUM(K15,K24,K29,K36,K37)</f>
        <v>1558</v>
      </c>
      <c r="L38" s="443">
        <f ca="1">SUM(L15,L24,L29,L36,L37,L39)</f>
        <v>1680</v>
      </c>
      <c r="M38" s="448">
        <f ca="1">SUM(M15,M24,M29,M36,M37,M39)</f>
        <v>4169.47</v>
      </c>
      <c r="N38" s="442">
        <f ca="1">SUM(N15,N24,N29,N36,N37)</f>
        <v>4892</v>
      </c>
      <c r="O38" s="443">
        <f ca="1">SUM(O15,O24,O29,O36,O37,O39)</f>
        <v>5196</v>
      </c>
      <c r="P38" s="448">
        <f ca="1">SUM(P15,P24,P29,P36,P37,P39)</f>
        <v>8579.9699999999993</v>
      </c>
      <c r="Q38" s="442">
        <f ca="1">SUM(Q15,Q24,Q29,Q36,Q37)</f>
        <v>572</v>
      </c>
      <c r="R38" s="443">
        <f ca="1">SUM(R15,R24,R29,R36,R37,R39)</f>
        <v>474</v>
      </c>
      <c r="S38" s="448">
        <f ca="1">SUM(S15,S24,S29,S36,S37,S39)</f>
        <v>2775.1</v>
      </c>
      <c r="T38" s="442">
        <f ca="1">SUM(T15,T24,T29,T36,T37)</f>
        <v>787</v>
      </c>
      <c r="U38" s="443">
        <f ca="1">SUM(U15,U24,U29,U36,U37,U39)</f>
        <v>855</v>
      </c>
      <c r="V38" s="448">
        <f ca="1">SUM(V15,V24,V29,V36,V37,V39)</f>
        <v>1758.0900000000001</v>
      </c>
      <c r="W38" s="442">
        <f ca="1">SUM(W15,W24,W29,W36,W37)</f>
        <v>1018</v>
      </c>
      <c r="X38" s="443">
        <f ca="1">SUM(X15,X24,X29,X36,X37,X39)</f>
        <v>1185</v>
      </c>
      <c r="Y38" s="448">
        <f ca="1">SUM(Y15,Y24,Y29,Y36,Y37,Y39)</f>
        <v>2800.9300000000003</v>
      </c>
      <c r="Z38" s="442">
        <f ca="1">SUM(Z15,Z24,Z29,Z36,Z37)</f>
        <v>800</v>
      </c>
      <c r="AA38" s="443">
        <f ca="1">SUM(AA15,AA24,AA29,AA36,AA37,AA39)</f>
        <v>917</v>
      </c>
      <c r="AB38" s="448">
        <f ca="1">SUM(AB15,AB24,AB29,AB36,AB37,AB39)</f>
        <v>3064.79</v>
      </c>
      <c r="AC38" s="442">
        <f ca="1">SUM(AC15,AC24,AC29,AC36,AC37)</f>
        <v>655</v>
      </c>
      <c r="AD38" s="443">
        <f ca="1">SUM(AD15,AD24,AD29,AD36,AD37,AD39)</f>
        <v>757</v>
      </c>
      <c r="AE38" s="448">
        <f ca="1">SUM(AE15,AE24,AE29,AE36,AE37,AE39)</f>
        <v>1428.3400000000001</v>
      </c>
      <c r="AF38" s="442">
        <f ca="1">SUM(AF15,AF24,AF29,AF36,AF37)</f>
        <v>267</v>
      </c>
      <c r="AG38" s="443">
        <f ca="1">SUM(AG15,AG24,AG29,AG36,AG37,AG39)</f>
        <v>460</v>
      </c>
      <c r="AH38" s="448">
        <f ca="1">SUM(AH15,AH24,AH29,AH36,AH37,AH39)</f>
        <v>3602.41</v>
      </c>
      <c r="AI38" s="442">
        <f ca="1">SUM(AI15,AI24,AI29,AI36,AI37)</f>
        <v>100</v>
      </c>
      <c r="AJ38" s="443">
        <f ca="1">SUM(AJ15,AJ24,AJ29,AJ36,AJ37,AJ39)</f>
        <v>126</v>
      </c>
      <c r="AK38" s="448">
        <f ca="1">SUM(AK15,AK24,AK29,AK36,AK37,AK39)</f>
        <v>978.14</v>
      </c>
      <c r="AL38" s="442">
        <f ca="1">SUM(AL15,AL24,AL29,AL36,AL37)</f>
        <v>29</v>
      </c>
      <c r="AM38" s="443">
        <f ca="1">SUM(AM15,AM24,AM29,AM36,AM37,AM39)</f>
        <v>37</v>
      </c>
      <c r="AN38" s="448">
        <f ca="1">SUM(AN15,AN24,AN29,AN36,AN37,AN39)</f>
        <v>527.61</v>
      </c>
      <c r="AO38" s="442">
        <f ca="1">SUM(AO15,AO24,AO29,AO36,AO37)</f>
        <v>900</v>
      </c>
      <c r="AP38" s="443">
        <f ca="1">SUM(AP15,AP24,AP29,AP36,AP37,AP39)</f>
        <v>1215</v>
      </c>
      <c r="AQ38" s="448">
        <f ca="1">SUM(AQ15,AQ24,AQ29,AQ36,AQ37,AQ39)</f>
        <v>1179.3499999999999</v>
      </c>
      <c r="AR38" s="442">
        <f ca="1">SUM(AR15,AR24,AR29,AR36,AR37)</f>
        <v>129</v>
      </c>
      <c r="AS38" s="443">
        <f ca="1">SUM(AS15,AS24,AS29,AS36,AS37,AS39)</f>
        <v>153</v>
      </c>
      <c r="AT38" s="448">
        <f ca="1">SUM(AT15,AT24,AT29,AT36,AT37,AT39)</f>
        <v>497.54</v>
      </c>
      <c r="AU38" s="449">
        <f ca="1">SUM(AU15,AU24,AU29,AU36,AU37)</f>
        <v>42</v>
      </c>
      <c r="AV38" s="443">
        <f ca="1">SUM(AV15,AV24,AV29,AV36,AV37,AV39)</f>
        <v>114</v>
      </c>
      <c r="AW38" s="444">
        <f ca="1">SUM(AW15,AW24,AW29,AW36,AW37,AW39)</f>
        <v>69</v>
      </c>
      <c r="AX38" s="460">
        <f ca="1">SUM(AX15,AX24,AX29,AX36,AX37)</f>
        <v>14778</v>
      </c>
      <c r="AY38" s="461">
        <f ca="1">SUM(AY15,AY24,AY29,AY36,AY37)</f>
        <v>16600</v>
      </c>
      <c r="AZ38" s="450"/>
      <c r="BA38" s="450"/>
      <c r="BB38" s="450"/>
      <c r="BC38" s="450"/>
      <c r="BD38" s="450"/>
      <c r="BE38" s="450"/>
      <c r="BF38" s="450"/>
      <c r="BG38" s="450"/>
      <c r="BH38" s="450"/>
      <c r="BI38" s="450"/>
      <c r="BJ38" s="450"/>
      <c r="BK38" s="450"/>
      <c r="BL38" s="450"/>
      <c r="BM38" s="450"/>
      <c r="BN38" s="450"/>
      <c r="BO38" s="450"/>
      <c r="BP38" s="450"/>
      <c r="BQ38" s="450"/>
      <c r="BR38" s="450"/>
      <c r="BS38" s="450"/>
      <c r="BT38" s="450"/>
      <c r="BU38" s="450"/>
      <c r="BV38" s="450"/>
      <c r="BW38" s="450"/>
      <c r="BX38" s="450"/>
      <c r="BY38" s="450"/>
      <c r="BZ38" s="450"/>
      <c r="CA38" s="450"/>
      <c r="CB38" s="450"/>
    </row>
    <row r="39" spans="1:80" s="453" customFormat="1" ht="28.5" thickBot="1">
      <c r="A39" s="501" t="s">
        <v>52</v>
      </c>
      <c r="B39" s="502">
        <v>587</v>
      </c>
      <c r="C39" s="503"/>
      <c r="D39" s="504">
        <v>2312.6799999999998</v>
      </c>
      <c r="E39" s="505">
        <v>640</v>
      </c>
      <c r="F39" s="506"/>
      <c r="G39" s="507">
        <v>3600.15</v>
      </c>
      <c r="H39" s="502">
        <v>576</v>
      </c>
      <c r="I39" s="503"/>
      <c r="J39" s="504">
        <v>2110.98</v>
      </c>
      <c r="K39" s="505">
        <v>331</v>
      </c>
      <c r="L39" s="506"/>
      <c r="M39" s="507">
        <v>1795.47</v>
      </c>
      <c r="N39" s="502">
        <v>656</v>
      </c>
      <c r="O39" s="503"/>
      <c r="P39" s="504">
        <v>2855.47</v>
      </c>
      <c r="Q39" s="505">
        <v>563</v>
      </c>
      <c r="R39" s="506"/>
      <c r="S39" s="507">
        <v>1877.6</v>
      </c>
      <c r="T39" s="502">
        <v>348</v>
      </c>
      <c r="U39" s="503"/>
      <c r="V39" s="504">
        <v>980.09</v>
      </c>
      <c r="W39" s="505">
        <v>402</v>
      </c>
      <c r="X39" s="506"/>
      <c r="Y39" s="507">
        <v>1579.43</v>
      </c>
      <c r="Z39" s="502">
        <v>301</v>
      </c>
      <c r="AA39" s="503"/>
      <c r="AB39" s="504">
        <v>1934.79</v>
      </c>
      <c r="AC39" s="505">
        <v>305</v>
      </c>
      <c r="AD39" s="506"/>
      <c r="AE39" s="507">
        <v>684.84</v>
      </c>
      <c r="AF39" s="502">
        <v>864</v>
      </c>
      <c r="AG39" s="503"/>
      <c r="AH39" s="504">
        <v>3192.91</v>
      </c>
      <c r="AI39" s="505">
        <v>315</v>
      </c>
      <c r="AJ39" s="506"/>
      <c r="AK39" s="507">
        <v>833.64</v>
      </c>
      <c r="AL39" s="502">
        <v>195</v>
      </c>
      <c r="AM39" s="503"/>
      <c r="AN39" s="504">
        <v>473.11</v>
      </c>
      <c r="AO39" s="505">
        <v>373</v>
      </c>
      <c r="AP39" s="506"/>
      <c r="AQ39" s="507">
        <v>469.85</v>
      </c>
      <c r="AR39" s="502">
        <v>209</v>
      </c>
      <c r="AS39" s="503"/>
      <c r="AT39" s="504">
        <v>321.54000000000002</v>
      </c>
      <c r="AU39" s="508">
        <v>9</v>
      </c>
      <c r="AV39" s="506"/>
      <c r="AW39" s="507">
        <v>22</v>
      </c>
      <c r="AX39" s="509">
        <v>6675</v>
      </c>
      <c r="AY39" s="547"/>
      <c r="AZ39" s="452"/>
      <c r="BA39" s="452"/>
      <c r="BB39" s="452"/>
      <c r="BC39" s="452"/>
      <c r="BD39" s="452"/>
      <c r="BE39" s="452"/>
      <c r="BF39" s="452"/>
      <c r="BG39" s="452"/>
      <c r="BH39" s="452"/>
      <c r="BI39" s="452"/>
      <c r="BJ39" s="452"/>
      <c r="BK39" s="452"/>
      <c r="BL39" s="452"/>
      <c r="BM39" s="452"/>
      <c r="BN39" s="452"/>
      <c r="BO39" s="452"/>
      <c r="BP39" s="452"/>
      <c r="BQ39" s="452"/>
      <c r="BR39" s="452"/>
      <c r="BS39" s="452"/>
      <c r="BT39" s="452"/>
      <c r="BU39" s="452"/>
      <c r="BV39" s="452"/>
      <c r="BW39" s="452"/>
      <c r="BX39" s="452"/>
      <c r="BY39" s="452"/>
      <c r="BZ39" s="452"/>
      <c r="CA39" s="452"/>
      <c r="CB39" s="452"/>
    </row>
    <row r="40" spans="1:80">
      <c r="A40" s="454"/>
      <c r="B40" s="455"/>
      <c r="C40" s="455"/>
      <c r="D40" s="455"/>
      <c r="E40" s="455"/>
      <c r="F40" s="455"/>
      <c r="G40" s="455"/>
      <c r="H40" s="455"/>
      <c r="I40" s="455"/>
      <c r="J40" s="455"/>
      <c r="K40" s="455"/>
      <c r="L40" s="455"/>
      <c r="M40" s="455"/>
      <c r="N40" s="455"/>
      <c r="O40" s="455"/>
      <c r="P40" s="455"/>
      <c r="Q40" s="455"/>
      <c r="R40" s="455"/>
      <c r="S40" s="455"/>
      <c r="T40" s="455"/>
      <c r="U40" s="455"/>
      <c r="V40" s="455"/>
      <c r="W40" s="455"/>
      <c r="X40" s="455"/>
      <c r="Y40" s="455"/>
      <c r="Z40" s="455"/>
      <c r="AA40" s="455"/>
      <c r="AB40" s="455"/>
      <c r="AC40" s="455"/>
      <c r="AD40" s="455"/>
      <c r="AE40" s="455"/>
      <c r="AF40" s="455"/>
      <c r="AG40" s="455"/>
      <c r="AH40" s="455"/>
      <c r="AI40" s="455"/>
      <c r="AJ40" s="455"/>
      <c r="AK40" s="455"/>
      <c r="AL40" s="455"/>
      <c r="AM40" s="455"/>
      <c r="AN40" s="455"/>
      <c r="AO40" s="414"/>
      <c r="AP40" s="414"/>
      <c r="AQ40" s="414"/>
      <c r="AR40" s="414"/>
      <c r="AS40" s="414"/>
      <c r="AT40" s="414"/>
      <c r="AU40" s="414"/>
      <c r="AV40" s="414"/>
      <c r="AW40" s="414"/>
      <c r="AZ40" s="414"/>
      <c r="BA40" s="414"/>
      <c r="BB40" s="414"/>
      <c r="BC40" s="414"/>
      <c r="BD40" s="414"/>
      <c r="BE40" s="414"/>
      <c r="BF40" s="414"/>
      <c r="BG40" s="414"/>
      <c r="BH40" s="414"/>
      <c r="BI40" s="414"/>
      <c r="BJ40" s="414"/>
      <c r="BK40" s="414"/>
      <c r="BL40" s="414"/>
      <c r="BM40" s="414"/>
      <c r="BN40" s="414"/>
      <c r="BO40" s="414"/>
      <c r="BP40" s="414"/>
      <c r="BQ40" s="414"/>
      <c r="BR40" s="414"/>
      <c r="BS40" s="414"/>
      <c r="BT40" s="414"/>
      <c r="BU40" s="414"/>
      <c r="BV40" s="414"/>
      <c r="BW40" s="414"/>
      <c r="BX40" s="414"/>
      <c r="BY40" s="414"/>
      <c r="BZ40" s="414"/>
      <c r="CA40" s="414"/>
      <c r="CB40" s="414"/>
    </row>
  </sheetData>
  <mergeCells count="20">
    <mergeCell ref="E4:G4"/>
    <mergeCell ref="H4:J4"/>
    <mergeCell ref="AU4:AW4"/>
    <mergeCell ref="AX4:AY4"/>
    <mergeCell ref="A1:AY1"/>
    <mergeCell ref="A2:AY2"/>
    <mergeCell ref="AC4:AE4"/>
    <mergeCell ref="AF4:AH4"/>
    <mergeCell ref="AI4:AK4"/>
    <mergeCell ref="AL4:AN4"/>
    <mergeCell ref="AO4:AQ4"/>
    <mergeCell ref="AR4:AT4"/>
    <mergeCell ref="K4:M4"/>
    <mergeCell ref="N4:P4"/>
    <mergeCell ref="Q4:S4"/>
    <mergeCell ref="T4:V4"/>
    <mergeCell ref="W4:Y4"/>
    <mergeCell ref="Z4:AB4"/>
    <mergeCell ref="A4:A5"/>
    <mergeCell ref="B4:D4"/>
  </mergeCells>
  <pageMargins left="0.7" right="0.7" top="0.75" bottom="0.75" header="0.3" footer="0.3"/>
  <pageSetup paperSize="9" scale="86" orientation="portrait" r:id="rId1"/>
  <colBreaks count="1" manualBreakCount="1">
    <brk id="51" max="1048575" man="1"/>
  </colBreaks>
  <ignoredErrors>
    <ignoredError sqref="AX36:AY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Y38"/>
  <sheetViews>
    <sheetView view="pageBreakPreview" topLeftCell="A19" zoomScale="70" zoomScaleNormal="100" zoomScaleSheetLayoutView="70" workbookViewId="0">
      <selection activeCell="A33" sqref="A33"/>
    </sheetView>
  </sheetViews>
  <sheetFormatPr defaultColWidth="14.42578125" defaultRowHeight="12.75"/>
  <cols>
    <col min="1" max="1" width="84.28515625" style="339" customWidth="1"/>
    <col min="2" max="3" width="9.42578125" style="339" customWidth="1"/>
    <col min="4" max="5" width="3.7109375" style="339" hidden="1" customWidth="1"/>
    <col min="6" max="6" width="6" style="339" hidden="1" customWidth="1"/>
    <col min="7" max="8" width="3.7109375" style="339" hidden="1" customWidth="1"/>
    <col min="9" max="9" width="6" style="339" hidden="1" customWidth="1"/>
    <col min="10" max="11" width="3.7109375" style="339" hidden="1" customWidth="1"/>
    <col min="12" max="12" width="6" style="339" hidden="1" customWidth="1"/>
    <col min="13" max="14" width="3.7109375" style="339" hidden="1" customWidth="1"/>
    <col min="15" max="15" width="6" style="339" hidden="1" customWidth="1"/>
    <col min="16" max="17" width="3.7109375" style="339" hidden="1" customWidth="1"/>
    <col min="18" max="18" width="6" style="339" hidden="1" customWidth="1"/>
    <col min="19" max="20" width="3.7109375" style="339" hidden="1" customWidth="1"/>
    <col min="21" max="21" width="6" style="339" hidden="1" customWidth="1"/>
    <col min="22" max="23" width="3.7109375" style="339" hidden="1" customWidth="1"/>
    <col min="24" max="24" width="6" style="339" hidden="1" customWidth="1"/>
    <col min="25" max="26" width="3.7109375" style="339" hidden="1" customWidth="1"/>
    <col min="27" max="27" width="6" style="339" hidden="1" customWidth="1"/>
    <col min="28" max="29" width="3.7109375" style="339" hidden="1" customWidth="1"/>
    <col min="30" max="30" width="6" style="339" hidden="1" customWidth="1"/>
    <col min="31" max="32" width="3.7109375" style="339" hidden="1" customWidth="1"/>
    <col min="33" max="33" width="6" style="339" hidden="1" customWidth="1"/>
    <col min="34" max="35" width="3.7109375" style="339" hidden="1" customWidth="1"/>
    <col min="36" max="36" width="6" style="339" hidden="1" customWidth="1"/>
    <col min="37" max="38" width="3.7109375" style="339" hidden="1" customWidth="1"/>
    <col min="39" max="39" width="6" style="339" hidden="1" customWidth="1"/>
    <col min="40" max="41" width="3.7109375" style="339" hidden="1" customWidth="1"/>
    <col min="42" max="42" width="6" style="339" hidden="1" customWidth="1"/>
    <col min="43" max="44" width="3.7109375" style="339" hidden="1" customWidth="1"/>
    <col min="45" max="45" width="6" style="339" hidden="1" customWidth="1"/>
    <col min="46" max="47" width="3.7109375" style="339" hidden="1" customWidth="1"/>
    <col min="48" max="48" width="6" style="339" hidden="1" customWidth="1"/>
    <col min="49" max="50" width="3.7109375" style="339" hidden="1" customWidth="1"/>
    <col min="51" max="51" width="6" style="339" hidden="1" customWidth="1"/>
    <col min="52" max="77" width="5.140625" style="339" customWidth="1"/>
    <col min="78" max="16384" width="14.42578125" style="339"/>
  </cols>
  <sheetData>
    <row r="1" spans="1:77" s="539" customFormat="1" ht="27.6" customHeight="1">
      <c r="A1" s="712" t="s">
        <v>110</v>
      </c>
      <c r="B1" s="712"/>
      <c r="C1" s="712"/>
    </row>
    <row r="2" spans="1:77" s="539" customFormat="1" ht="24" customHeight="1">
      <c r="A2" s="713" t="s">
        <v>111</v>
      </c>
      <c r="B2" s="713"/>
      <c r="C2" s="713"/>
    </row>
    <row r="3" spans="1:77" s="539" customFormat="1" ht="9" customHeight="1" thickBot="1">
      <c r="A3" s="540"/>
      <c r="B3" s="715"/>
      <c r="C3" s="716"/>
      <c r="D3" s="719" t="s">
        <v>81</v>
      </c>
      <c r="E3" s="720"/>
      <c r="F3" s="720"/>
      <c r="G3" s="720"/>
      <c r="H3" s="720"/>
      <c r="I3" s="720"/>
      <c r="J3" s="541"/>
      <c r="K3" s="541"/>
      <c r="L3" s="542"/>
      <c r="M3" s="541"/>
      <c r="N3" s="541"/>
      <c r="O3" s="542"/>
      <c r="P3" s="541"/>
      <c r="Q3" s="541"/>
      <c r="R3" s="542"/>
      <c r="S3" s="541"/>
      <c r="T3" s="541"/>
      <c r="U3" s="542"/>
      <c r="V3" s="541"/>
      <c r="W3" s="541"/>
      <c r="X3" s="542"/>
      <c r="Y3" s="541"/>
      <c r="Z3" s="541"/>
      <c r="AA3" s="542"/>
      <c r="AB3" s="541"/>
      <c r="AC3" s="541"/>
      <c r="AD3" s="542"/>
      <c r="AE3" s="541"/>
      <c r="AF3" s="541"/>
      <c r="AG3" s="542"/>
      <c r="AH3" s="541"/>
      <c r="AI3" s="541"/>
      <c r="AJ3" s="542"/>
      <c r="AK3" s="541"/>
      <c r="AL3" s="541"/>
      <c r="AM3" s="542"/>
      <c r="AN3" s="541"/>
      <c r="AO3" s="541"/>
      <c r="AP3" s="542"/>
      <c r="AQ3" s="541"/>
      <c r="AR3" s="541"/>
      <c r="AS3" s="542"/>
      <c r="AT3" s="541"/>
      <c r="AU3" s="541"/>
      <c r="AV3" s="542"/>
      <c r="AW3" s="541"/>
      <c r="AX3" s="541"/>
      <c r="AY3" s="542"/>
      <c r="AZ3" s="541"/>
      <c r="BA3" s="541"/>
      <c r="BB3" s="541"/>
      <c r="BC3" s="541"/>
      <c r="BD3" s="541"/>
      <c r="BE3" s="541"/>
      <c r="BF3" s="541"/>
      <c r="BG3" s="541"/>
      <c r="BH3" s="541"/>
      <c r="BI3" s="541"/>
      <c r="BJ3" s="541"/>
      <c r="BK3" s="541"/>
      <c r="BL3" s="541"/>
      <c r="BM3" s="541"/>
      <c r="BN3" s="541"/>
      <c r="BO3" s="541"/>
      <c r="BP3" s="541"/>
      <c r="BQ3" s="541"/>
      <c r="BR3" s="541"/>
      <c r="BS3" s="541"/>
      <c r="BT3" s="541"/>
      <c r="BU3" s="541"/>
      <c r="BV3" s="541"/>
      <c r="BW3" s="541"/>
      <c r="BX3" s="541"/>
      <c r="BY3" s="541"/>
    </row>
    <row r="4" spans="1:77" s="511" customFormat="1" ht="28.5" thickBot="1">
      <c r="A4" s="717" t="s">
        <v>82</v>
      </c>
      <c r="B4" s="721" t="s">
        <v>20</v>
      </c>
      <c r="C4" s="722"/>
      <c r="D4" s="723" t="s">
        <v>11</v>
      </c>
      <c r="E4" s="724"/>
      <c r="F4" s="725"/>
      <c r="G4" s="714" t="s">
        <v>9</v>
      </c>
      <c r="H4" s="710"/>
      <c r="I4" s="711"/>
      <c r="J4" s="714" t="s">
        <v>4</v>
      </c>
      <c r="K4" s="710"/>
      <c r="L4" s="711"/>
      <c r="M4" s="714" t="s">
        <v>2</v>
      </c>
      <c r="N4" s="710"/>
      <c r="O4" s="711"/>
      <c r="P4" s="714" t="s">
        <v>0</v>
      </c>
      <c r="Q4" s="710"/>
      <c r="R4" s="711"/>
      <c r="S4" s="714" t="s">
        <v>14</v>
      </c>
      <c r="T4" s="710"/>
      <c r="U4" s="711"/>
      <c r="V4" s="714" t="s">
        <v>15</v>
      </c>
      <c r="W4" s="710"/>
      <c r="X4" s="711"/>
      <c r="Y4" s="714" t="s">
        <v>1</v>
      </c>
      <c r="Z4" s="710"/>
      <c r="AA4" s="711"/>
      <c r="AB4" s="714" t="s">
        <v>3</v>
      </c>
      <c r="AC4" s="710"/>
      <c r="AD4" s="711"/>
      <c r="AE4" s="714" t="s">
        <v>8</v>
      </c>
      <c r="AF4" s="710"/>
      <c r="AG4" s="711"/>
      <c r="AH4" s="714" t="s">
        <v>5</v>
      </c>
      <c r="AI4" s="710"/>
      <c r="AJ4" s="711"/>
      <c r="AK4" s="709" t="s">
        <v>6</v>
      </c>
      <c r="AL4" s="710"/>
      <c r="AM4" s="711"/>
      <c r="AN4" s="709" t="s">
        <v>12</v>
      </c>
      <c r="AO4" s="710"/>
      <c r="AP4" s="711"/>
      <c r="AQ4" s="709" t="s">
        <v>7</v>
      </c>
      <c r="AR4" s="710"/>
      <c r="AS4" s="711"/>
      <c r="AT4" s="709" t="s">
        <v>10</v>
      </c>
      <c r="AU4" s="710"/>
      <c r="AV4" s="711"/>
      <c r="AW4" s="709" t="s">
        <v>13</v>
      </c>
      <c r="AX4" s="710"/>
      <c r="AY4" s="711"/>
      <c r="AZ4" s="510"/>
      <c r="BA4" s="510"/>
      <c r="BB4" s="510"/>
      <c r="BC4" s="510"/>
      <c r="BD4" s="510"/>
      <c r="BE4" s="510"/>
      <c r="BF4" s="510"/>
      <c r="BG4" s="510"/>
      <c r="BH4" s="510"/>
      <c r="BI4" s="510"/>
      <c r="BJ4" s="510"/>
      <c r="BK4" s="510"/>
      <c r="BL4" s="510"/>
      <c r="BM4" s="510"/>
      <c r="BN4" s="510"/>
      <c r="BO4" s="510"/>
      <c r="BP4" s="510"/>
      <c r="BQ4" s="510"/>
      <c r="BR4" s="510"/>
      <c r="BS4" s="510"/>
      <c r="BT4" s="510"/>
      <c r="BU4" s="510"/>
      <c r="BV4" s="510"/>
      <c r="BW4" s="510"/>
      <c r="BX4" s="510"/>
      <c r="BY4" s="510"/>
    </row>
    <row r="5" spans="1:77" s="511" customFormat="1" ht="28.5" thickBot="1">
      <c r="A5" s="718"/>
      <c r="B5" s="575" t="s">
        <v>21</v>
      </c>
      <c r="C5" s="576" t="s">
        <v>22</v>
      </c>
      <c r="D5" s="512" t="s">
        <v>21</v>
      </c>
      <c r="E5" s="513" t="s">
        <v>22</v>
      </c>
      <c r="F5" s="514" t="s">
        <v>53</v>
      </c>
      <c r="G5" s="515" t="s">
        <v>21</v>
      </c>
      <c r="H5" s="515" t="s">
        <v>22</v>
      </c>
      <c r="I5" s="515" t="s">
        <v>53</v>
      </c>
      <c r="J5" s="516" t="s">
        <v>21</v>
      </c>
      <c r="K5" s="516" t="s">
        <v>22</v>
      </c>
      <c r="L5" s="517" t="s">
        <v>53</v>
      </c>
      <c r="M5" s="515" t="s">
        <v>21</v>
      </c>
      <c r="N5" s="515" t="s">
        <v>22</v>
      </c>
      <c r="O5" s="517" t="s">
        <v>53</v>
      </c>
      <c r="P5" s="516" t="s">
        <v>21</v>
      </c>
      <c r="Q5" s="516" t="s">
        <v>22</v>
      </c>
      <c r="R5" s="517" t="s">
        <v>53</v>
      </c>
      <c r="S5" s="515" t="s">
        <v>21</v>
      </c>
      <c r="T5" s="515" t="s">
        <v>22</v>
      </c>
      <c r="U5" s="517" t="s">
        <v>53</v>
      </c>
      <c r="V5" s="516" t="s">
        <v>21</v>
      </c>
      <c r="W5" s="516" t="s">
        <v>22</v>
      </c>
      <c r="X5" s="517" t="s">
        <v>53</v>
      </c>
      <c r="Y5" s="515" t="s">
        <v>21</v>
      </c>
      <c r="Z5" s="515" t="s">
        <v>22</v>
      </c>
      <c r="AA5" s="517" t="s">
        <v>53</v>
      </c>
      <c r="AB5" s="516" t="s">
        <v>21</v>
      </c>
      <c r="AC5" s="516" t="s">
        <v>22</v>
      </c>
      <c r="AD5" s="517" t="s">
        <v>53</v>
      </c>
      <c r="AE5" s="515" t="s">
        <v>21</v>
      </c>
      <c r="AF5" s="515" t="s">
        <v>22</v>
      </c>
      <c r="AG5" s="517" t="s">
        <v>53</v>
      </c>
      <c r="AH5" s="516" t="s">
        <v>21</v>
      </c>
      <c r="AI5" s="516" t="s">
        <v>22</v>
      </c>
      <c r="AJ5" s="517" t="s">
        <v>53</v>
      </c>
      <c r="AK5" s="515" t="s">
        <v>21</v>
      </c>
      <c r="AL5" s="515" t="s">
        <v>22</v>
      </c>
      <c r="AM5" s="517" t="s">
        <v>53</v>
      </c>
      <c r="AN5" s="516" t="s">
        <v>21</v>
      </c>
      <c r="AO5" s="516" t="s">
        <v>22</v>
      </c>
      <c r="AP5" s="517" t="s">
        <v>53</v>
      </c>
      <c r="AQ5" s="515" t="s">
        <v>21</v>
      </c>
      <c r="AR5" s="515" t="s">
        <v>22</v>
      </c>
      <c r="AS5" s="517" t="s">
        <v>53</v>
      </c>
      <c r="AT5" s="516" t="s">
        <v>21</v>
      </c>
      <c r="AU5" s="516" t="s">
        <v>22</v>
      </c>
      <c r="AV5" s="517" t="s">
        <v>53</v>
      </c>
      <c r="AW5" s="515" t="s">
        <v>21</v>
      </c>
      <c r="AX5" s="515" t="s">
        <v>22</v>
      </c>
      <c r="AY5" s="517" t="s">
        <v>53</v>
      </c>
      <c r="AZ5" s="518"/>
      <c r="BA5" s="518"/>
      <c r="BB5" s="518"/>
      <c r="BC5" s="518"/>
      <c r="BD5" s="518"/>
      <c r="BE5" s="518"/>
      <c r="BF5" s="518"/>
      <c r="BG5" s="518"/>
      <c r="BH5" s="518"/>
      <c r="BI5" s="518"/>
      <c r="BJ5" s="518"/>
      <c r="BK5" s="518"/>
      <c r="BL5" s="518"/>
      <c r="BM5" s="518"/>
      <c r="BN5" s="518"/>
      <c r="BO5" s="518"/>
      <c r="BP5" s="518"/>
      <c r="BQ5" s="518"/>
      <c r="BR5" s="518"/>
      <c r="BS5" s="518"/>
      <c r="BT5" s="518"/>
      <c r="BU5" s="518"/>
      <c r="BV5" s="518"/>
      <c r="BW5" s="518"/>
      <c r="BX5" s="518"/>
      <c r="BY5" s="518"/>
    </row>
    <row r="6" spans="1:77" s="511" customFormat="1" ht="28.5" thickBot="1">
      <c r="A6" s="551" t="s">
        <v>83</v>
      </c>
      <c r="B6" s="552"/>
      <c r="C6" s="553"/>
      <c r="D6" s="519"/>
      <c r="E6" s="520"/>
      <c r="F6" s="521"/>
      <c r="G6" s="522"/>
      <c r="H6" s="522"/>
      <c r="I6" s="522"/>
      <c r="J6" s="523"/>
      <c r="K6" s="523"/>
      <c r="L6" s="524"/>
      <c r="M6" s="522"/>
      <c r="N6" s="522"/>
      <c r="O6" s="524"/>
      <c r="P6" s="523"/>
      <c r="Q6" s="523"/>
      <c r="R6" s="524"/>
      <c r="S6" s="522"/>
      <c r="T6" s="522"/>
      <c r="U6" s="524"/>
      <c r="V6" s="523"/>
      <c r="W6" s="523"/>
      <c r="X6" s="524"/>
      <c r="Y6" s="522"/>
      <c r="Z6" s="522"/>
      <c r="AA6" s="524"/>
      <c r="AB6" s="523"/>
      <c r="AC6" s="523"/>
      <c r="AD6" s="524"/>
      <c r="AE6" s="522"/>
      <c r="AF6" s="522"/>
      <c r="AG6" s="524"/>
      <c r="AH6" s="523"/>
      <c r="AI6" s="523"/>
      <c r="AJ6" s="524"/>
      <c r="AK6" s="522"/>
      <c r="AL6" s="522"/>
      <c r="AM6" s="524"/>
      <c r="AN6" s="523"/>
      <c r="AO6" s="523"/>
      <c r="AP6" s="524"/>
      <c r="AQ6" s="522"/>
      <c r="AR6" s="522"/>
      <c r="AS6" s="524"/>
      <c r="AT6" s="523"/>
      <c r="AU6" s="523"/>
      <c r="AV6" s="524"/>
      <c r="AW6" s="522"/>
      <c r="AX6" s="522"/>
      <c r="AY6" s="524"/>
      <c r="AZ6" s="525"/>
      <c r="BA6" s="525"/>
      <c r="BB6" s="525"/>
      <c r="BC6" s="525"/>
      <c r="BD6" s="525"/>
      <c r="BE6" s="525"/>
      <c r="BF6" s="525"/>
      <c r="BG6" s="525"/>
      <c r="BH6" s="525"/>
      <c r="BI6" s="525"/>
      <c r="BJ6" s="525"/>
      <c r="BK6" s="525"/>
      <c r="BL6" s="525"/>
      <c r="BM6" s="525"/>
      <c r="BN6" s="525"/>
      <c r="BO6" s="525"/>
      <c r="BP6" s="525"/>
      <c r="BQ6" s="525"/>
      <c r="BR6" s="525"/>
      <c r="BS6" s="525"/>
      <c r="BT6" s="525"/>
      <c r="BU6" s="525"/>
      <c r="BV6" s="525"/>
      <c r="BW6" s="525"/>
      <c r="BX6" s="525"/>
      <c r="BY6" s="525"/>
    </row>
    <row r="7" spans="1:77" s="511" customFormat="1" ht="28.5" thickBot="1">
      <c r="A7" s="554" t="s">
        <v>84</v>
      </c>
      <c r="B7" s="555">
        <f t="shared" ref="B7:C10" si="0">D7+G7+J7+M7+P7+S7+V7+Y7+AB7+AE7+AH7+AK7+AN7+AQ7+AT7+AW7</f>
        <v>6</v>
      </c>
      <c r="C7" s="556">
        <f t="shared" si="0"/>
        <v>5</v>
      </c>
      <c r="D7" s="526">
        <f>SUM([1]บช.น.!$F$2:$F36)</f>
        <v>2</v>
      </c>
      <c r="E7" s="527">
        <f>SUM([1]บช.น.!$G$2:$G36)</f>
        <v>2</v>
      </c>
      <c r="F7" s="528">
        <f t="shared" ref="F7:F10" si="1">D7*5</f>
        <v>10</v>
      </c>
      <c r="G7" s="522">
        <f>SUM([1]ภ.1!$F$2:$F36)</f>
        <v>1</v>
      </c>
      <c r="H7" s="522">
        <f>SUM([1]ภ.1!$G$2:$G36)</f>
        <v>1</v>
      </c>
      <c r="I7" s="522">
        <f t="shared" ref="I7:I10" si="2">G7*5</f>
        <v>5</v>
      </c>
      <c r="J7" s="523">
        <f>SUM([1]ภ.2!$F$2:$F36)</f>
        <v>0</v>
      </c>
      <c r="K7" s="523">
        <f>SUM([1]ภ.2!$G$2:$G36)</f>
        <v>0</v>
      </c>
      <c r="L7" s="529">
        <f t="shared" ref="L7:L10" si="3">J7*5</f>
        <v>0</v>
      </c>
      <c r="M7" s="522">
        <f>SUM([1]ภ.3!$F$2:$F36)</f>
        <v>0</v>
      </c>
      <c r="N7" s="522">
        <f>SUM([1]ภ.3!$G$2:$G36)</f>
        <v>0</v>
      </c>
      <c r="O7" s="529">
        <f t="shared" ref="O7:O10" si="4">M7*5</f>
        <v>0</v>
      </c>
      <c r="P7" s="523">
        <f>SUM([1]ภ.4!$F$2:$F36)</f>
        <v>1</v>
      </c>
      <c r="Q7" s="523">
        <f>SUM([1]ภ.4!$G$2:$G36)</f>
        <v>1</v>
      </c>
      <c r="R7" s="529">
        <f t="shared" ref="R7:R10" si="5">P7*5</f>
        <v>5</v>
      </c>
      <c r="S7" s="522">
        <f>SUM([1]ภ.5!$F$2:$F36)</f>
        <v>0</v>
      </c>
      <c r="T7" s="522">
        <f>SUM([1]ภ.5!$G$2:$G36)</f>
        <v>0</v>
      </c>
      <c r="U7" s="529">
        <f t="shared" ref="U7:U10" si="6">S7*5</f>
        <v>0</v>
      </c>
      <c r="V7" s="523">
        <f>SUM([1]ภ.6!$F$2:$F36)</f>
        <v>0</v>
      </c>
      <c r="W7" s="523">
        <f>SUM([1]ภ.6!$G$2:$G36)</f>
        <v>0</v>
      </c>
      <c r="X7" s="529">
        <f t="shared" ref="X7:X10" si="7">V7*5</f>
        <v>0</v>
      </c>
      <c r="Y7" s="522">
        <f>SUM([1]ภ.7!$F$2:$F36)</f>
        <v>0</v>
      </c>
      <c r="Z7" s="522">
        <f>SUM([1]ภ.7!$G$2:$G36)</f>
        <v>0</v>
      </c>
      <c r="AA7" s="529">
        <f t="shared" ref="AA7:AA10" si="8">Y7*5</f>
        <v>0</v>
      </c>
      <c r="AB7" s="523">
        <f>SUM([1]ภ.8!$F$2:$F36)</f>
        <v>0</v>
      </c>
      <c r="AC7" s="523">
        <f>SUM([1]ภ.8!$G$2:$G36)</f>
        <v>0</v>
      </c>
      <c r="AD7" s="529">
        <f t="shared" ref="AD7:AD10" si="9">AB7*5</f>
        <v>0</v>
      </c>
      <c r="AE7" s="522">
        <f>SUM([1]ภ.9!$F$2:$F36)</f>
        <v>2</v>
      </c>
      <c r="AF7" s="522">
        <f>SUM([1]ภ.9!$G$2:$G36)</f>
        <v>1</v>
      </c>
      <c r="AG7" s="529">
        <f t="shared" ref="AG7:AG10" si="10">AE7*5</f>
        <v>10</v>
      </c>
      <c r="AH7" s="523">
        <f>SUM([1]บช.ก.!$F$2:$F36)</f>
        <v>0</v>
      </c>
      <c r="AI7" s="523">
        <f>SUM([1]บช.ก.!$G$2:$G36)</f>
        <v>0</v>
      </c>
      <c r="AJ7" s="529">
        <f t="shared" ref="AJ7:AJ10" si="11">AH7*5</f>
        <v>0</v>
      </c>
      <c r="AK7" s="522">
        <f>SUM([1]บช.สอท.!$F$2:$F36)</f>
        <v>0</v>
      </c>
      <c r="AL7" s="522">
        <f>SUM([1]บช.สอท.!$G$2:$G36)</f>
        <v>0</v>
      </c>
      <c r="AM7" s="529">
        <f t="shared" ref="AM7:AM10" si="12">AK7*5</f>
        <v>0</v>
      </c>
      <c r="AN7" s="523">
        <f>SUM([1]บช.ปส.!$F$2:$F36)</f>
        <v>0</v>
      </c>
      <c r="AO7" s="523">
        <f>SUM([1]บช.ปส.!$G$2:$G36)</f>
        <v>0</v>
      </c>
      <c r="AP7" s="529">
        <f t="shared" ref="AP7:AP10" si="13">AN7*5</f>
        <v>0</v>
      </c>
      <c r="AQ7" s="522">
        <f>SUM([1]สตม.!$F$2:$F36)</f>
        <v>0</v>
      </c>
      <c r="AR7" s="522">
        <f>SUM([1]สตม.!$G$2:$G36)</f>
        <v>0</v>
      </c>
      <c r="AS7" s="529">
        <f t="shared" ref="AS7:AS10" si="14">AQ7*5</f>
        <v>0</v>
      </c>
      <c r="AT7" s="523">
        <f>SUM([1]บช.ทท.!$F$2:$F36)</f>
        <v>0</v>
      </c>
      <c r="AU7" s="523">
        <f>SUM([1]บช.ทท.!$G$2:$G36)</f>
        <v>0</v>
      </c>
      <c r="AV7" s="529">
        <f t="shared" ref="AV7:AV10" si="15">AT7*5</f>
        <v>0</v>
      </c>
      <c r="AW7" s="522">
        <f>SUM([1]บช.ตชด.!$F$2:$F36)</f>
        <v>0</v>
      </c>
      <c r="AX7" s="522">
        <f>SUM([1]บช.ตชด.!$G$2:$G36)</f>
        <v>0</v>
      </c>
      <c r="AY7" s="529">
        <f t="shared" ref="AY7:AY10" si="16">AW7*5</f>
        <v>0</v>
      </c>
      <c r="AZ7" s="525"/>
      <c r="BA7" s="525"/>
      <c r="BB7" s="525"/>
      <c r="BC7" s="525"/>
      <c r="BD7" s="525"/>
      <c r="BE7" s="525"/>
      <c r="BF7" s="525"/>
      <c r="BG7" s="525"/>
      <c r="BH7" s="525"/>
      <c r="BI7" s="525"/>
      <c r="BJ7" s="525"/>
      <c r="BK7" s="525"/>
      <c r="BL7" s="525"/>
      <c r="BM7" s="525"/>
      <c r="BN7" s="525"/>
      <c r="BO7" s="525"/>
      <c r="BP7" s="525"/>
      <c r="BQ7" s="525"/>
      <c r="BR7" s="525"/>
      <c r="BS7" s="525"/>
      <c r="BT7" s="525"/>
      <c r="BU7" s="525"/>
      <c r="BV7" s="525"/>
      <c r="BW7" s="525"/>
      <c r="BX7" s="525"/>
      <c r="BY7" s="525"/>
    </row>
    <row r="8" spans="1:77" s="511" customFormat="1" ht="28.5" thickBot="1">
      <c r="A8" s="554" t="s">
        <v>85</v>
      </c>
      <c r="B8" s="555">
        <f t="shared" si="0"/>
        <v>1</v>
      </c>
      <c r="C8" s="556">
        <f t="shared" si="0"/>
        <v>1</v>
      </c>
      <c r="D8" s="526">
        <f>SUM([1]บช.น.!$H$2:$H36)</f>
        <v>0</v>
      </c>
      <c r="E8" s="527">
        <f>SUM([1]บช.น.!$I$2:$I36)</f>
        <v>0</v>
      </c>
      <c r="F8" s="528">
        <f t="shared" si="1"/>
        <v>0</v>
      </c>
      <c r="G8" s="522">
        <f>SUM([1]ภ.1!$H$2:$H36)</f>
        <v>0</v>
      </c>
      <c r="H8" s="522">
        <f>SUM([1]ภ.1!$I$2:$I36)</f>
        <v>0</v>
      </c>
      <c r="I8" s="522">
        <f t="shared" si="2"/>
        <v>0</v>
      </c>
      <c r="J8" s="523">
        <f>SUM([1]ภ.2!$H$2:$H36)</f>
        <v>0</v>
      </c>
      <c r="K8" s="523">
        <f>SUM([1]ภ.2!$I$2:$I36)</f>
        <v>0</v>
      </c>
      <c r="L8" s="530">
        <f t="shared" si="3"/>
        <v>0</v>
      </c>
      <c r="M8" s="522">
        <f>SUM([1]ภ.3!$H$2:$H36)</f>
        <v>0</v>
      </c>
      <c r="N8" s="522">
        <f>SUM([1]ภ.3!$I$2:$I36)</f>
        <v>0</v>
      </c>
      <c r="O8" s="530">
        <f t="shared" si="4"/>
        <v>0</v>
      </c>
      <c r="P8" s="523">
        <f>SUM([1]ภ.4!$H$2:$H36)</f>
        <v>0</v>
      </c>
      <c r="Q8" s="523">
        <f>SUM([1]ภ.4!$I$2:$I36)</f>
        <v>0</v>
      </c>
      <c r="R8" s="530">
        <f t="shared" si="5"/>
        <v>0</v>
      </c>
      <c r="S8" s="522">
        <f>SUM([1]ภ.5!$H$2:$H36)</f>
        <v>0</v>
      </c>
      <c r="T8" s="522">
        <f>SUM([1]ภ.5!$I$2:$I36)</f>
        <v>0</v>
      </c>
      <c r="U8" s="530">
        <f t="shared" si="6"/>
        <v>0</v>
      </c>
      <c r="V8" s="523">
        <f>SUM([1]ภ.6!$H$2:$H36)</f>
        <v>1</v>
      </c>
      <c r="W8" s="523">
        <f>SUM([1]ภ.6!$I$2:$I36)</f>
        <v>1</v>
      </c>
      <c r="X8" s="530">
        <f t="shared" si="7"/>
        <v>5</v>
      </c>
      <c r="Y8" s="522">
        <f>SUM([1]ภ.7!$H$2:$H36)</f>
        <v>0</v>
      </c>
      <c r="Z8" s="522">
        <f>SUM([1]ภ.7!$I$2:$I36)</f>
        <v>0</v>
      </c>
      <c r="AA8" s="530">
        <f t="shared" si="8"/>
        <v>0</v>
      </c>
      <c r="AB8" s="523">
        <f>SUM([1]ภ.8!$H$2:$H36)</f>
        <v>0</v>
      </c>
      <c r="AC8" s="523">
        <f>SUM([1]ภ.8!$I$2:$I36)</f>
        <v>0</v>
      </c>
      <c r="AD8" s="530">
        <f t="shared" si="9"/>
        <v>0</v>
      </c>
      <c r="AE8" s="522">
        <f>SUM([1]ภ.9!$H$2:$H36)</f>
        <v>0</v>
      </c>
      <c r="AF8" s="522">
        <f>SUM([1]ภ.9!$I$2:$I36)</f>
        <v>0</v>
      </c>
      <c r="AG8" s="530">
        <f t="shared" si="10"/>
        <v>0</v>
      </c>
      <c r="AH8" s="523">
        <f>SUM([1]บช.ก.!$H$2:$H36)</f>
        <v>0</v>
      </c>
      <c r="AI8" s="523">
        <f>SUM([1]บช.ก.!$I$2:$I36)</f>
        <v>0</v>
      </c>
      <c r="AJ8" s="530">
        <f t="shared" si="11"/>
        <v>0</v>
      </c>
      <c r="AK8" s="522">
        <f>SUM([1]บช.สอท.!$H$2:$H36)</f>
        <v>0</v>
      </c>
      <c r="AL8" s="522">
        <f>SUM([1]บช.สอท.!$I$2:$I36)</f>
        <v>0</v>
      </c>
      <c r="AM8" s="530">
        <f t="shared" si="12"/>
        <v>0</v>
      </c>
      <c r="AN8" s="523">
        <f>SUM([1]บช.ปส.!$H$2:$H36)</f>
        <v>0</v>
      </c>
      <c r="AO8" s="523">
        <f>SUM([1]บช.ปส.!$I$2:$I36)</f>
        <v>0</v>
      </c>
      <c r="AP8" s="530">
        <f t="shared" si="13"/>
        <v>0</v>
      </c>
      <c r="AQ8" s="522">
        <f>SUM([1]สตม.!$H$2:$H36)</f>
        <v>0</v>
      </c>
      <c r="AR8" s="522">
        <f>SUM([1]สตม.!$I$2:$I36)</f>
        <v>0</v>
      </c>
      <c r="AS8" s="530">
        <f t="shared" si="14"/>
        <v>0</v>
      </c>
      <c r="AT8" s="523">
        <f>SUM([1]บช.ทท.!$H$2:$H36)</f>
        <v>0</v>
      </c>
      <c r="AU8" s="523">
        <f>SUM([1]บช.ทท.!$I$2:$I36)</f>
        <v>0</v>
      </c>
      <c r="AV8" s="530">
        <f t="shared" si="15"/>
        <v>0</v>
      </c>
      <c r="AW8" s="522">
        <f>SUM([1]บช.ตชด.!$H$2:$H36)</f>
        <v>0</v>
      </c>
      <c r="AX8" s="522">
        <f>SUM([1]บช.ตชด.!$I$2:$I36)</f>
        <v>0</v>
      </c>
      <c r="AY8" s="530">
        <f t="shared" si="16"/>
        <v>0</v>
      </c>
      <c r="AZ8" s="525"/>
      <c r="BA8" s="525"/>
      <c r="BB8" s="525"/>
      <c r="BC8" s="525"/>
      <c r="BD8" s="525"/>
      <c r="BE8" s="525"/>
      <c r="BF8" s="525"/>
      <c r="BG8" s="525"/>
      <c r="BH8" s="525"/>
      <c r="BI8" s="525"/>
      <c r="BJ8" s="525"/>
      <c r="BK8" s="525"/>
      <c r="BL8" s="525"/>
      <c r="BM8" s="525"/>
      <c r="BN8" s="525"/>
      <c r="BO8" s="525"/>
      <c r="BP8" s="525"/>
      <c r="BQ8" s="525"/>
      <c r="BR8" s="525"/>
      <c r="BS8" s="525"/>
      <c r="BT8" s="525"/>
      <c r="BU8" s="525"/>
      <c r="BV8" s="525"/>
      <c r="BW8" s="525"/>
      <c r="BX8" s="525"/>
      <c r="BY8" s="525"/>
    </row>
    <row r="9" spans="1:77" s="511" customFormat="1" ht="28.5" thickBot="1">
      <c r="A9" s="554" t="s">
        <v>86</v>
      </c>
      <c r="B9" s="555">
        <f t="shared" si="0"/>
        <v>2</v>
      </c>
      <c r="C9" s="556">
        <f t="shared" si="0"/>
        <v>3</v>
      </c>
      <c r="D9" s="526">
        <f>SUM([1]บช.น.!$J$2:$J36)</f>
        <v>0</v>
      </c>
      <c r="E9" s="527">
        <f>SUM([1]บช.น.!$K$2:$K36)</f>
        <v>0</v>
      </c>
      <c r="F9" s="528">
        <f t="shared" si="1"/>
        <v>0</v>
      </c>
      <c r="G9" s="522">
        <f>SUM([1]ภ.1!$J$2:$J36)</f>
        <v>0</v>
      </c>
      <c r="H9" s="522">
        <f>SUM([1]ภ.1!$K$2:$K36)</f>
        <v>0</v>
      </c>
      <c r="I9" s="522">
        <f t="shared" si="2"/>
        <v>0</v>
      </c>
      <c r="J9" s="523">
        <f>SUM([1]ภ.2!$J$2:$J36)</f>
        <v>0</v>
      </c>
      <c r="K9" s="523">
        <f>SUM([1]ภ.2!$K$2:$K36)</f>
        <v>0</v>
      </c>
      <c r="L9" s="529">
        <f t="shared" si="3"/>
        <v>0</v>
      </c>
      <c r="M9" s="522">
        <f>SUM([1]ภ.3!$J$2:$J36)</f>
        <v>0</v>
      </c>
      <c r="N9" s="522">
        <f>SUM([1]ภ.3!$K$2:$K36)</f>
        <v>0</v>
      </c>
      <c r="O9" s="529">
        <f t="shared" si="4"/>
        <v>0</v>
      </c>
      <c r="P9" s="523">
        <f>SUM([1]ภ.4!$J$2:$J36)</f>
        <v>0</v>
      </c>
      <c r="Q9" s="523">
        <f>SUM([1]ภ.4!$K$2:$K36)</f>
        <v>0</v>
      </c>
      <c r="R9" s="529">
        <f t="shared" si="5"/>
        <v>0</v>
      </c>
      <c r="S9" s="522">
        <f>SUM([1]ภ.5!$J$2:$J36)</f>
        <v>0</v>
      </c>
      <c r="T9" s="522">
        <f>SUM([1]ภ.5!$K$2:$K36)</f>
        <v>0</v>
      </c>
      <c r="U9" s="529">
        <f t="shared" si="6"/>
        <v>0</v>
      </c>
      <c r="V9" s="523">
        <f>SUM([1]ภ.6!$J$2:$J36)</f>
        <v>0</v>
      </c>
      <c r="W9" s="523">
        <f>SUM([1]ภ.6!$K$2:$K36)</f>
        <v>0</v>
      </c>
      <c r="X9" s="529">
        <f t="shared" si="7"/>
        <v>0</v>
      </c>
      <c r="Y9" s="522">
        <f>SUM([1]ภ.7!$J$2:$J36)</f>
        <v>0</v>
      </c>
      <c r="Z9" s="522">
        <f>SUM([1]ภ.7!$K$2:$K36)</f>
        <v>0</v>
      </c>
      <c r="AA9" s="529">
        <f t="shared" si="8"/>
        <v>0</v>
      </c>
      <c r="AB9" s="523">
        <f>SUM([1]ภ.8!$J$2:$J36)</f>
        <v>0</v>
      </c>
      <c r="AC9" s="523">
        <f>SUM([1]ภ.8!$K$2:$K36)</f>
        <v>0</v>
      </c>
      <c r="AD9" s="529">
        <f t="shared" si="9"/>
        <v>0</v>
      </c>
      <c r="AE9" s="522">
        <f>SUM([1]ภ.9!$J$2:$J36)</f>
        <v>0</v>
      </c>
      <c r="AF9" s="522">
        <f>SUM([1]ภ.9!$K$2:$K36)</f>
        <v>0</v>
      </c>
      <c r="AG9" s="529">
        <f t="shared" si="10"/>
        <v>0</v>
      </c>
      <c r="AH9" s="523">
        <f>SUM([1]บช.ก.!$J$2:$J36)</f>
        <v>0</v>
      </c>
      <c r="AI9" s="523">
        <f>SUM([1]บช.ก.!$K$2:$K36)</f>
        <v>0</v>
      </c>
      <c r="AJ9" s="529">
        <f t="shared" si="11"/>
        <v>0</v>
      </c>
      <c r="AK9" s="522">
        <f>SUM([1]บช.สอท.!$J$2:$J36)</f>
        <v>2</v>
      </c>
      <c r="AL9" s="522">
        <f>SUM([1]บช.สอท.!$K$2:$K36)</f>
        <v>3</v>
      </c>
      <c r="AM9" s="529">
        <f t="shared" si="12"/>
        <v>10</v>
      </c>
      <c r="AN9" s="523">
        <f>SUM([1]บช.ปส.!$J$2:$J36)</f>
        <v>0</v>
      </c>
      <c r="AO9" s="523">
        <f>SUM([1]บช.ปส.!$K$2:$K36)</f>
        <v>0</v>
      </c>
      <c r="AP9" s="529">
        <f t="shared" si="13"/>
        <v>0</v>
      </c>
      <c r="AQ9" s="522">
        <f>SUM([1]สตม.!$J$2:$J36)</f>
        <v>0</v>
      </c>
      <c r="AR9" s="522">
        <f>SUM([1]สตม.!$K$2:$K36)</f>
        <v>0</v>
      </c>
      <c r="AS9" s="529">
        <f t="shared" si="14"/>
        <v>0</v>
      </c>
      <c r="AT9" s="523">
        <f>SUM([1]บช.ทท.!$J$2:$J36)</f>
        <v>0</v>
      </c>
      <c r="AU9" s="523">
        <f>SUM([1]บช.ทท.!$K$2:$K36)</f>
        <v>0</v>
      </c>
      <c r="AV9" s="529">
        <f t="shared" si="15"/>
        <v>0</v>
      </c>
      <c r="AW9" s="522">
        <f>SUM([1]บช.ตชด.!$J$2:$J36)</f>
        <v>0</v>
      </c>
      <c r="AX9" s="522">
        <f>SUM([1]บช.ตชด.!$K$2:$K36)</f>
        <v>0</v>
      </c>
      <c r="AY9" s="529">
        <f t="shared" si="16"/>
        <v>0</v>
      </c>
      <c r="AZ9" s="525"/>
      <c r="BA9" s="525"/>
      <c r="BB9" s="525"/>
      <c r="BC9" s="525"/>
      <c r="BD9" s="525"/>
      <c r="BE9" s="525"/>
      <c r="BF9" s="525"/>
      <c r="BG9" s="525"/>
      <c r="BH9" s="525"/>
      <c r="BI9" s="525"/>
      <c r="BJ9" s="525"/>
      <c r="BK9" s="525"/>
      <c r="BL9" s="525"/>
      <c r="BM9" s="525"/>
      <c r="BN9" s="525"/>
      <c r="BO9" s="525"/>
      <c r="BP9" s="525"/>
      <c r="BQ9" s="525"/>
      <c r="BR9" s="525"/>
      <c r="BS9" s="525"/>
      <c r="BT9" s="525"/>
      <c r="BU9" s="525"/>
      <c r="BV9" s="525"/>
      <c r="BW9" s="525"/>
      <c r="BX9" s="525"/>
      <c r="BY9" s="525"/>
    </row>
    <row r="10" spans="1:77" s="511" customFormat="1" ht="28.5" thickBot="1">
      <c r="A10" s="554" t="s">
        <v>87</v>
      </c>
      <c r="B10" s="555">
        <f t="shared" si="0"/>
        <v>16</v>
      </c>
      <c r="C10" s="556">
        <f t="shared" si="0"/>
        <v>16</v>
      </c>
      <c r="D10" s="526">
        <f>SUM([1]บช.น.!$L$2:$L36)</f>
        <v>1</v>
      </c>
      <c r="E10" s="527">
        <f>SUM([1]บช.น.!$M$2:$M36)</f>
        <v>1</v>
      </c>
      <c r="F10" s="528">
        <f t="shared" si="1"/>
        <v>5</v>
      </c>
      <c r="G10" s="522">
        <f>SUM([1]ภ.1!$L$2:$L36)</f>
        <v>3</v>
      </c>
      <c r="H10" s="522">
        <f>SUM([1]ภ.1!$M$2:$M36)</f>
        <v>3</v>
      </c>
      <c r="I10" s="522">
        <f t="shared" si="2"/>
        <v>15</v>
      </c>
      <c r="J10" s="523">
        <f>SUM([1]ภ.2!$L$2:$L36)</f>
        <v>1</v>
      </c>
      <c r="K10" s="523">
        <f>SUM([1]ภ.2!$M$2:$M36)</f>
        <v>1</v>
      </c>
      <c r="L10" s="530">
        <f t="shared" si="3"/>
        <v>5</v>
      </c>
      <c r="M10" s="522">
        <f>SUM([1]ภ.3!$L$2:$L36)</f>
        <v>0</v>
      </c>
      <c r="N10" s="522">
        <f>SUM([1]ภ.3!$M$2:$M36)</f>
        <v>0</v>
      </c>
      <c r="O10" s="530">
        <f t="shared" si="4"/>
        <v>0</v>
      </c>
      <c r="P10" s="523">
        <f>SUM([1]ภ.4!$L$2:$L36)</f>
        <v>4</v>
      </c>
      <c r="Q10" s="523">
        <f>SUM([1]ภ.4!$M$2:$M36)</f>
        <v>4</v>
      </c>
      <c r="R10" s="530">
        <f t="shared" si="5"/>
        <v>20</v>
      </c>
      <c r="S10" s="522">
        <f>SUM([1]ภ.5!$L$2:$L36)</f>
        <v>0</v>
      </c>
      <c r="T10" s="522">
        <f>SUM([1]ภ.5!$M$2:$M36)</f>
        <v>0</v>
      </c>
      <c r="U10" s="530">
        <f t="shared" si="6"/>
        <v>0</v>
      </c>
      <c r="V10" s="523">
        <f>SUM([1]ภ.6!$L$2:$L36)</f>
        <v>0</v>
      </c>
      <c r="W10" s="523">
        <f>SUM([1]ภ.6!$M$2:$M36)</f>
        <v>0</v>
      </c>
      <c r="X10" s="530">
        <f t="shared" si="7"/>
        <v>0</v>
      </c>
      <c r="Y10" s="522">
        <f>SUM([1]ภ.7!$L$2:$L36)</f>
        <v>1</v>
      </c>
      <c r="Z10" s="522">
        <f>SUM([1]ภ.7!$M$2:$M36)</f>
        <v>1</v>
      </c>
      <c r="AA10" s="530">
        <f t="shared" si="8"/>
        <v>5</v>
      </c>
      <c r="AB10" s="523">
        <f>SUM([1]ภ.8!$L$2:$L36)</f>
        <v>0</v>
      </c>
      <c r="AC10" s="523">
        <f>SUM([1]ภ.8!$M$2:$M36)</f>
        <v>0</v>
      </c>
      <c r="AD10" s="530">
        <f t="shared" si="9"/>
        <v>0</v>
      </c>
      <c r="AE10" s="522">
        <f>SUM([1]ภ.9!$L$2:$L36)</f>
        <v>0</v>
      </c>
      <c r="AF10" s="522">
        <f>SUM([1]ภ.9!$M$2:$M36)</f>
        <v>0</v>
      </c>
      <c r="AG10" s="530">
        <f t="shared" si="10"/>
        <v>0</v>
      </c>
      <c r="AH10" s="523">
        <f>SUM([1]บช.ก.!$L$2:$L36)</f>
        <v>0</v>
      </c>
      <c r="AI10" s="523">
        <f>SUM([1]บช.ก.!$M$2:$M36)</f>
        <v>0</v>
      </c>
      <c r="AJ10" s="530">
        <f t="shared" si="11"/>
        <v>0</v>
      </c>
      <c r="AK10" s="522">
        <f>SUM([1]บช.สอท.!$L$2:$L36)</f>
        <v>4</v>
      </c>
      <c r="AL10" s="522">
        <f>SUM([1]บช.สอท.!$M$2:$M36)</f>
        <v>4</v>
      </c>
      <c r="AM10" s="530">
        <f t="shared" si="12"/>
        <v>20</v>
      </c>
      <c r="AN10" s="523">
        <f>SUM([1]บช.ปส.!$L$2:$L36)</f>
        <v>0</v>
      </c>
      <c r="AO10" s="523">
        <f>SUM([1]บช.ปส.!$M$2:$M36)</f>
        <v>0</v>
      </c>
      <c r="AP10" s="530">
        <f t="shared" si="13"/>
        <v>0</v>
      </c>
      <c r="AQ10" s="522">
        <f>SUM([1]สตม.!$L$2:$L36)</f>
        <v>0</v>
      </c>
      <c r="AR10" s="522">
        <f>SUM([1]สตม.!$M$2:$M36)</f>
        <v>0</v>
      </c>
      <c r="AS10" s="530">
        <f t="shared" si="14"/>
        <v>0</v>
      </c>
      <c r="AT10" s="523">
        <f>SUM([1]บช.ทท.!$L$2:$L36)</f>
        <v>2</v>
      </c>
      <c r="AU10" s="523">
        <f>SUM([1]บช.ทท.!$M$2:$M36)</f>
        <v>2</v>
      </c>
      <c r="AV10" s="530">
        <f t="shared" si="15"/>
        <v>10</v>
      </c>
      <c r="AW10" s="522">
        <f>SUM([1]บช.ตชด.!$L$2:$L36)</f>
        <v>0</v>
      </c>
      <c r="AX10" s="522">
        <f>SUM([1]บช.ตชด.!$M$2:$M36)</f>
        <v>0</v>
      </c>
      <c r="AY10" s="530">
        <f t="shared" si="16"/>
        <v>0</v>
      </c>
      <c r="AZ10" s="525"/>
      <c r="BA10" s="525"/>
      <c r="BB10" s="525"/>
      <c r="BC10" s="525"/>
      <c r="BD10" s="525"/>
      <c r="BE10" s="525"/>
      <c r="BF10" s="525"/>
      <c r="BG10" s="525"/>
      <c r="BH10" s="525"/>
      <c r="BI10" s="525"/>
      <c r="BJ10" s="525"/>
      <c r="BK10" s="525"/>
      <c r="BL10" s="525"/>
      <c r="BM10" s="525"/>
      <c r="BN10" s="525"/>
      <c r="BO10" s="525"/>
      <c r="BP10" s="525"/>
      <c r="BQ10" s="525"/>
      <c r="BR10" s="525"/>
      <c r="BS10" s="525"/>
      <c r="BT10" s="525"/>
      <c r="BU10" s="525"/>
      <c r="BV10" s="525"/>
      <c r="BW10" s="525"/>
      <c r="BX10" s="525"/>
      <c r="BY10" s="525"/>
    </row>
    <row r="11" spans="1:77" s="531" customFormat="1" ht="28.5" thickBot="1">
      <c r="A11" s="557" t="s">
        <v>32</v>
      </c>
      <c r="B11" s="558">
        <f t="shared" ref="B11:AY11" si="17">SUM(B7:B10)</f>
        <v>25</v>
      </c>
      <c r="C11" s="559">
        <f t="shared" si="17"/>
        <v>25</v>
      </c>
      <c r="D11" s="512">
        <f t="shared" si="17"/>
        <v>3</v>
      </c>
      <c r="E11" s="513">
        <f t="shared" si="17"/>
        <v>3</v>
      </c>
      <c r="F11" s="514">
        <f t="shared" si="17"/>
        <v>15</v>
      </c>
      <c r="G11" s="516">
        <f t="shared" si="17"/>
        <v>4</v>
      </c>
      <c r="H11" s="516">
        <f t="shared" si="17"/>
        <v>4</v>
      </c>
      <c r="I11" s="516">
        <f t="shared" si="17"/>
        <v>20</v>
      </c>
      <c r="J11" s="516">
        <f t="shared" si="17"/>
        <v>1</v>
      </c>
      <c r="K11" s="516">
        <f t="shared" si="17"/>
        <v>1</v>
      </c>
      <c r="L11" s="517">
        <f t="shared" si="17"/>
        <v>5</v>
      </c>
      <c r="M11" s="516">
        <f t="shared" si="17"/>
        <v>0</v>
      </c>
      <c r="N11" s="516">
        <f t="shared" si="17"/>
        <v>0</v>
      </c>
      <c r="O11" s="517">
        <f t="shared" si="17"/>
        <v>0</v>
      </c>
      <c r="P11" s="516">
        <f t="shared" si="17"/>
        <v>5</v>
      </c>
      <c r="Q11" s="516">
        <f t="shared" si="17"/>
        <v>5</v>
      </c>
      <c r="R11" s="517">
        <f t="shared" si="17"/>
        <v>25</v>
      </c>
      <c r="S11" s="516">
        <f t="shared" si="17"/>
        <v>0</v>
      </c>
      <c r="T11" s="516">
        <f t="shared" si="17"/>
        <v>0</v>
      </c>
      <c r="U11" s="517">
        <f t="shared" si="17"/>
        <v>0</v>
      </c>
      <c r="V11" s="516">
        <f t="shared" si="17"/>
        <v>1</v>
      </c>
      <c r="W11" s="516">
        <f t="shared" si="17"/>
        <v>1</v>
      </c>
      <c r="X11" s="517">
        <f t="shared" si="17"/>
        <v>5</v>
      </c>
      <c r="Y11" s="516">
        <f t="shared" si="17"/>
        <v>1</v>
      </c>
      <c r="Z11" s="516">
        <f t="shared" si="17"/>
        <v>1</v>
      </c>
      <c r="AA11" s="517">
        <f t="shared" si="17"/>
        <v>5</v>
      </c>
      <c r="AB11" s="516">
        <f t="shared" si="17"/>
        <v>0</v>
      </c>
      <c r="AC11" s="516">
        <f t="shared" si="17"/>
        <v>0</v>
      </c>
      <c r="AD11" s="517">
        <f t="shared" si="17"/>
        <v>0</v>
      </c>
      <c r="AE11" s="516">
        <f t="shared" si="17"/>
        <v>2</v>
      </c>
      <c r="AF11" s="516">
        <f t="shared" si="17"/>
        <v>1</v>
      </c>
      <c r="AG11" s="517">
        <f t="shared" si="17"/>
        <v>10</v>
      </c>
      <c r="AH11" s="516">
        <f t="shared" si="17"/>
        <v>0</v>
      </c>
      <c r="AI11" s="516">
        <f t="shared" si="17"/>
        <v>0</v>
      </c>
      <c r="AJ11" s="517">
        <f t="shared" si="17"/>
        <v>0</v>
      </c>
      <c r="AK11" s="516">
        <f t="shared" si="17"/>
        <v>6</v>
      </c>
      <c r="AL11" s="516">
        <f t="shared" si="17"/>
        <v>7</v>
      </c>
      <c r="AM11" s="517">
        <f t="shared" si="17"/>
        <v>30</v>
      </c>
      <c r="AN11" s="516">
        <f t="shared" si="17"/>
        <v>0</v>
      </c>
      <c r="AO11" s="516">
        <f t="shared" si="17"/>
        <v>0</v>
      </c>
      <c r="AP11" s="517">
        <f t="shared" si="17"/>
        <v>0</v>
      </c>
      <c r="AQ11" s="516">
        <f t="shared" si="17"/>
        <v>0</v>
      </c>
      <c r="AR11" s="516">
        <f t="shared" si="17"/>
        <v>0</v>
      </c>
      <c r="AS11" s="517">
        <f t="shared" si="17"/>
        <v>0</v>
      </c>
      <c r="AT11" s="516">
        <f t="shared" si="17"/>
        <v>2</v>
      </c>
      <c r="AU11" s="516">
        <f t="shared" si="17"/>
        <v>2</v>
      </c>
      <c r="AV11" s="517">
        <f t="shared" si="17"/>
        <v>10</v>
      </c>
      <c r="AW11" s="516">
        <f t="shared" si="17"/>
        <v>0</v>
      </c>
      <c r="AX11" s="516">
        <f t="shared" si="17"/>
        <v>0</v>
      </c>
      <c r="AY11" s="517">
        <f t="shared" si="17"/>
        <v>0</v>
      </c>
      <c r="AZ11" s="518"/>
      <c r="BA11" s="518"/>
      <c r="BB11" s="518"/>
      <c r="BC11" s="518"/>
      <c r="BD11" s="518"/>
      <c r="BE11" s="518"/>
      <c r="BF11" s="518"/>
      <c r="BG11" s="518"/>
      <c r="BH11" s="518"/>
      <c r="BI11" s="518"/>
      <c r="BJ11" s="518"/>
      <c r="BK11" s="518"/>
      <c r="BL11" s="518"/>
      <c r="BM11" s="518"/>
      <c r="BN11" s="518"/>
      <c r="BO11" s="518"/>
      <c r="BP11" s="518"/>
      <c r="BQ11" s="518"/>
      <c r="BR11" s="518"/>
      <c r="BS11" s="518"/>
      <c r="BT11" s="518"/>
      <c r="BU11" s="518"/>
      <c r="BV11" s="518"/>
      <c r="BW11" s="518"/>
      <c r="BX11" s="518"/>
      <c r="BY11" s="518"/>
    </row>
    <row r="12" spans="1:77" s="511" customFormat="1" ht="28.5" thickBot="1">
      <c r="A12" s="560" t="s">
        <v>88</v>
      </c>
      <c r="B12" s="561"/>
      <c r="C12" s="562"/>
      <c r="D12" s="532"/>
      <c r="E12" s="533"/>
      <c r="F12" s="534"/>
      <c r="G12" s="535"/>
      <c r="H12" s="535"/>
      <c r="I12" s="515"/>
      <c r="J12" s="516"/>
      <c r="K12" s="516"/>
      <c r="L12" s="524"/>
      <c r="M12" s="535"/>
      <c r="N12" s="535"/>
      <c r="O12" s="524"/>
      <c r="P12" s="516"/>
      <c r="Q12" s="516"/>
      <c r="R12" s="524"/>
      <c r="S12" s="535"/>
      <c r="T12" s="535"/>
      <c r="U12" s="524"/>
      <c r="V12" s="516"/>
      <c r="W12" s="516"/>
      <c r="X12" s="524"/>
      <c r="Y12" s="535"/>
      <c r="Z12" s="535"/>
      <c r="AA12" s="524"/>
      <c r="AB12" s="516"/>
      <c r="AC12" s="516"/>
      <c r="AD12" s="524"/>
      <c r="AE12" s="535"/>
      <c r="AF12" s="535"/>
      <c r="AG12" s="524"/>
      <c r="AH12" s="516"/>
      <c r="AI12" s="516"/>
      <c r="AJ12" s="524"/>
      <c r="AK12" s="535"/>
      <c r="AL12" s="535"/>
      <c r="AM12" s="524"/>
      <c r="AN12" s="516"/>
      <c r="AO12" s="516"/>
      <c r="AP12" s="524"/>
      <c r="AQ12" s="535"/>
      <c r="AR12" s="535"/>
      <c r="AS12" s="524"/>
      <c r="AT12" s="516"/>
      <c r="AU12" s="516"/>
      <c r="AV12" s="524"/>
      <c r="AW12" s="535"/>
      <c r="AX12" s="535"/>
      <c r="AY12" s="524"/>
      <c r="AZ12" s="518"/>
      <c r="BA12" s="518"/>
      <c r="BB12" s="518"/>
      <c r="BC12" s="518"/>
      <c r="BD12" s="518"/>
      <c r="BE12" s="518"/>
      <c r="BF12" s="518"/>
      <c r="BG12" s="518"/>
      <c r="BH12" s="518"/>
      <c r="BI12" s="518"/>
      <c r="BJ12" s="518"/>
      <c r="BK12" s="518"/>
      <c r="BL12" s="518"/>
      <c r="BM12" s="518"/>
      <c r="BN12" s="518"/>
      <c r="BO12" s="518"/>
      <c r="BP12" s="518"/>
      <c r="BQ12" s="518"/>
      <c r="BR12" s="518"/>
      <c r="BS12" s="518"/>
      <c r="BT12" s="518"/>
      <c r="BU12" s="518"/>
      <c r="BV12" s="518"/>
      <c r="BW12" s="518"/>
      <c r="BX12" s="518"/>
      <c r="BY12" s="518"/>
    </row>
    <row r="13" spans="1:77" s="511" customFormat="1" ht="28.5" thickBot="1">
      <c r="A13" s="563" t="s">
        <v>89</v>
      </c>
      <c r="B13" s="564">
        <f t="shared" ref="B13:C18" si="18">D13+G13+J13+M13+P13+S13+V13+Y13+AB13+AE13+AH13+AK13+AN13+AQ13+AT13+AW13</f>
        <v>46</v>
      </c>
      <c r="C13" s="565">
        <f t="shared" si="18"/>
        <v>43</v>
      </c>
      <c r="D13" s="526">
        <f>SUM([1]บช.น.!$N$2:$N36)</f>
        <v>6</v>
      </c>
      <c r="E13" s="527">
        <f>SUM([1]บช.น.!$O$2:$O36)</f>
        <v>6</v>
      </c>
      <c r="F13" s="528">
        <f>D13*5</f>
        <v>30</v>
      </c>
      <c r="G13" s="536">
        <f>SUM([1]ภ.1!$N$2:$N36)</f>
        <v>0</v>
      </c>
      <c r="H13" s="536">
        <f>SUM([1]ภ.1!$O$2:$O36)</f>
        <v>0</v>
      </c>
      <c r="I13" s="522">
        <f>G13*5</f>
        <v>0</v>
      </c>
      <c r="J13" s="523">
        <f>SUM([1]ภ.2!$N$2:$N36)</f>
        <v>0</v>
      </c>
      <c r="K13" s="523">
        <f>SUM([1]ภ.2!$O$2:$O36)</f>
        <v>0</v>
      </c>
      <c r="L13" s="529">
        <f>J13*5</f>
        <v>0</v>
      </c>
      <c r="M13" s="536">
        <f>SUM([1]ภ.3!$N$2:$N36)</f>
        <v>0</v>
      </c>
      <c r="N13" s="536">
        <f>SUM([1]ภ.3!$O$2:$O36)</f>
        <v>0</v>
      </c>
      <c r="O13" s="529">
        <f>M13*5</f>
        <v>0</v>
      </c>
      <c r="P13" s="523">
        <f>SUM([1]ภ.4!$N$2:$N36)</f>
        <v>12</v>
      </c>
      <c r="Q13" s="523">
        <f>SUM([1]ภ.4!$O$2:$O36)</f>
        <v>12</v>
      </c>
      <c r="R13" s="529">
        <f>P13*5</f>
        <v>60</v>
      </c>
      <c r="S13" s="536">
        <f>SUM([1]ภ.5!$N$2:$N36)</f>
        <v>0</v>
      </c>
      <c r="T13" s="536">
        <f>SUM([1]ภ.5!$O$2:$O36)</f>
        <v>0</v>
      </c>
      <c r="U13" s="529">
        <f>S13*5</f>
        <v>0</v>
      </c>
      <c r="V13" s="523">
        <f>SUM([1]ภ.6!$N$2:$N36)</f>
        <v>1</v>
      </c>
      <c r="W13" s="523">
        <f>SUM([1]ภ.6!$O$2:$O36)</f>
        <v>0</v>
      </c>
      <c r="X13" s="529">
        <f>V13*5</f>
        <v>5</v>
      </c>
      <c r="Y13" s="536">
        <f>SUM([1]ภ.7!$N$2:$N36)</f>
        <v>0</v>
      </c>
      <c r="Z13" s="536">
        <f>SUM([1]ภ.7!$O$2:$O36)</f>
        <v>0</v>
      </c>
      <c r="AA13" s="529">
        <f>Y13*5</f>
        <v>0</v>
      </c>
      <c r="AB13" s="523">
        <f>SUM([1]ภ.8!$N$2:$N36)</f>
        <v>1</v>
      </c>
      <c r="AC13" s="523">
        <f>SUM([1]ภ.8!$O$2:$O36)</f>
        <v>1</v>
      </c>
      <c r="AD13" s="529">
        <f>AB13*5</f>
        <v>5</v>
      </c>
      <c r="AE13" s="536">
        <f>SUM([1]ภ.9!$N$2:$N36)</f>
        <v>11</v>
      </c>
      <c r="AF13" s="536">
        <f>SUM([1]ภ.9!$O$2:$O36)</f>
        <v>11</v>
      </c>
      <c r="AG13" s="529">
        <f>AE13*5</f>
        <v>55</v>
      </c>
      <c r="AH13" s="523">
        <f>SUM([1]บช.ก.!$N$2:$N36)</f>
        <v>10</v>
      </c>
      <c r="AI13" s="523">
        <f>SUM([1]บช.ก.!$O$2:$O36)</f>
        <v>9</v>
      </c>
      <c r="AJ13" s="529">
        <f>AH13*5</f>
        <v>50</v>
      </c>
      <c r="AK13" s="536">
        <f>SUM([1]บช.สอท.!$N$2:$N36)</f>
        <v>0</v>
      </c>
      <c r="AL13" s="536">
        <f>SUM([1]บช.สอท.!$O$2:$O36)</f>
        <v>0</v>
      </c>
      <c r="AM13" s="529">
        <f>AK13*5</f>
        <v>0</v>
      </c>
      <c r="AN13" s="523">
        <f>SUM([1]บช.ปส.!$N$2:$N36)</f>
        <v>4</v>
      </c>
      <c r="AO13" s="523">
        <f>SUM([1]บช.ปส.!$O$2:$O36)</f>
        <v>3</v>
      </c>
      <c r="AP13" s="529">
        <f>AN13*5</f>
        <v>20</v>
      </c>
      <c r="AQ13" s="536">
        <f>SUM([1]สตม.!$N$2:$N36)</f>
        <v>1</v>
      </c>
      <c r="AR13" s="536">
        <f>SUM([1]สตม.!$O$2:$O36)</f>
        <v>1</v>
      </c>
      <c r="AS13" s="529">
        <f>AQ13*5</f>
        <v>5</v>
      </c>
      <c r="AT13" s="523">
        <f>SUM([1]บช.ทท.!$N$2:$N36)</f>
        <v>0</v>
      </c>
      <c r="AU13" s="523">
        <f>SUM([1]บช.ทท.!$O$2:$O36)</f>
        <v>0</v>
      </c>
      <c r="AV13" s="529">
        <f>AT13*5</f>
        <v>0</v>
      </c>
      <c r="AW13" s="536">
        <f>SUM([1]บช.ตชด.!$N$2:$N36)</f>
        <v>0</v>
      </c>
      <c r="AX13" s="536">
        <f>SUM([1]บช.ตชด.!$O$2:$O36)</f>
        <v>0</v>
      </c>
      <c r="AY13" s="529">
        <f>AW13*5</f>
        <v>0</v>
      </c>
      <c r="AZ13" s="525"/>
      <c r="BA13" s="525"/>
      <c r="BB13" s="525"/>
      <c r="BC13" s="525"/>
      <c r="BD13" s="525"/>
      <c r="BE13" s="525"/>
      <c r="BF13" s="525"/>
      <c r="BG13" s="525"/>
      <c r="BH13" s="525"/>
      <c r="BI13" s="525"/>
      <c r="BJ13" s="525"/>
      <c r="BK13" s="525"/>
      <c r="BL13" s="525"/>
      <c r="BM13" s="525"/>
      <c r="BN13" s="525"/>
      <c r="BO13" s="525"/>
      <c r="BP13" s="525"/>
      <c r="BQ13" s="525"/>
      <c r="BR13" s="525"/>
      <c r="BS13" s="525"/>
      <c r="BT13" s="525"/>
      <c r="BU13" s="525"/>
      <c r="BV13" s="525"/>
      <c r="BW13" s="525"/>
      <c r="BX13" s="525"/>
      <c r="BY13" s="525"/>
    </row>
    <row r="14" spans="1:77" s="511" customFormat="1" ht="28.5" thickBot="1">
      <c r="A14" s="563" t="s">
        <v>90</v>
      </c>
      <c r="B14" s="564">
        <f t="shared" si="18"/>
        <v>16</v>
      </c>
      <c r="C14" s="565">
        <f t="shared" si="18"/>
        <v>16</v>
      </c>
      <c r="D14" s="526">
        <f>SUM([1]บช.น.!$P2:$P36)</f>
        <v>6</v>
      </c>
      <c r="E14" s="527">
        <f>SUM([1]บช.น.!$Q$2:$Q36)</f>
        <v>7</v>
      </c>
      <c r="F14" s="528">
        <f>D14*2</f>
        <v>12</v>
      </c>
      <c r="G14" s="536">
        <f>SUM([1]ภ.1!$P2:$P36)</f>
        <v>0</v>
      </c>
      <c r="H14" s="536">
        <f>SUM([1]ภ.1!$Q$2:$Q36)</f>
        <v>0</v>
      </c>
      <c r="I14" s="522">
        <f>G14*2</f>
        <v>0</v>
      </c>
      <c r="J14" s="523">
        <f>SUM([1]ภ.2!$P2:$P36)</f>
        <v>0</v>
      </c>
      <c r="K14" s="523">
        <f>SUM([1]ภ.2!$Q$2:$Q36)</f>
        <v>0</v>
      </c>
      <c r="L14" s="530">
        <f>J14*2</f>
        <v>0</v>
      </c>
      <c r="M14" s="536">
        <f>SUM([1]ภ.3!$P2:$P36)</f>
        <v>0</v>
      </c>
      <c r="N14" s="536">
        <f>SUM([1]ภ.3!$Q$2:$Q36)</f>
        <v>0</v>
      </c>
      <c r="O14" s="530">
        <f>M14*2</f>
        <v>0</v>
      </c>
      <c r="P14" s="523">
        <f>SUM([1]ภ.4!$P2:$P36)</f>
        <v>1</v>
      </c>
      <c r="Q14" s="523">
        <f>SUM([1]ภ.4!$Q$2:$Q36)</f>
        <v>1</v>
      </c>
      <c r="R14" s="530">
        <f>P14*2</f>
        <v>2</v>
      </c>
      <c r="S14" s="536">
        <f>SUM([1]ภ.5!$P2:$P36)</f>
        <v>0</v>
      </c>
      <c r="T14" s="536">
        <f>SUM([1]ภ.5!$Q$2:$Q36)</f>
        <v>0</v>
      </c>
      <c r="U14" s="530">
        <f>S14*2</f>
        <v>0</v>
      </c>
      <c r="V14" s="523">
        <f>SUM([1]ภ.6!$P2:$P36)</f>
        <v>1</v>
      </c>
      <c r="W14" s="523">
        <f>SUM([1]ภ.6!$Q$2:$Q36)</f>
        <v>1</v>
      </c>
      <c r="X14" s="530">
        <f>V14*2</f>
        <v>2</v>
      </c>
      <c r="Y14" s="536">
        <f>SUM([1]ภ.7!$P2:$P36)</f>
        <v>0</v>
      </c>
      <c r="Z14" s="536">
        <f>SUM([1]ภ.7!$Q$2:$Q36)</f>
        <v>0</v>
      </c>
      <c r="AA14" s="530">
        <f>Y14*2</f>
        <v>0</v>
      </c>
      <c r="AB14" s="523">
        <f>SUM([1]ภ.8!$P2:$P36)</f>
        <v>0</v>
      </c>
      <c r="AC14" s="523">
        <f>SUM([1]ภ.8!$Q$2:$Q36)</f>
        <v>0</v>
      </c>
      <c r="AD14" s="530">
        <f>AB14*2</f>
        <v>0</v>
      </c>
      <c r="AE14" s="536">
        <f>SUM([1]ภ.9!$P2:$P36)</f>
        <v>2</v>
      </c>
      <c r="AF14" s="536">
        <f>SUM([1]ภ.9!$Q$2:$Q36)</f>
        <v>1</v>
      </c>
      <c r="AG14" s="530">
        <f>AE14*2</f>
        <v>4</v>
      </c>
      <c r="AH14" s="523">
        <f>SUM([1]บช.ก.!$P2:$P36)</f>
        <v>0</v>
      </c>
      <c r="AI14" s="523">
        <f>SUM([1]บช.ก.!$Q$2:$Q36)</f>
        <v>0</v>
      </c>
      <c r="AJ14" s="530">
        <f>AH14*2</f>
        <v>0</v>
      </c>
      <c r="AK14" s="536">
        <f>SUM([1]บช.สอท.!$P2:$P36)</f>
        <v>5</v>
      </c>
      <c r="AL14" s="536">
        <f>SUM([1]บช.สอท.!$Q$2:$Q36)</f>
        <v>5</v>
      </c>
      <c r="AM14" s="530">
        <f>AK14*2</f>
        <v>10</v>
      </c>
      <c r="AN14" s="523">
        <f>SUM([1]บช.ปส.!$P2:$P36)</f>
        <v>0</v>
      </c>
      <c r="AO14" s="523">
        <f>SUM([1]บช.ปส.!$Q$2:$Q36)</f>
        <v>0</v>
      </c>
      <c r="AP14" s="530">
        <f>AN14*2</f>
        <v>0</v>
      </c>
      <c r="AQ14" s="536">
        <f>SUM([1]สตม.!$P2:$P36)</f>
        <v>1</v>
      </c>
      <c r="AR14" s="536">
        <f>SUM([1]สตม.!$Q$2:$Q36)</f>
        <v>1</v>
      </c>
      <c r="AS14" s="530">
        <f>AQ14*2</f>
        <v>2</v>
      </c>
      <c r="AT14" s="523">
        <f>SUM([1]บช.ทท.!$P2:$P36)</f>
        <v>0</v>
      </c>
      <c r="AU14" s="523">
        <f>SUM([1]บช.ทท.!$Q$2:$Q36)</f>
        <v>0</v>
      </c>
      <c r="AV14" s="530">
        <f>AT14*2</f>
        <v>0</v>
      </c>
      <c r="AW14" s="536">
        <f>SUM([1]บช.ตชด.!$P2:$P36)</f>
        <v>0</v>
      </c>
      <c r="AX14" s="536">
        <f>SUM([1]บช.ตชด.!$Q$2:$Q36)</f>
        <v>0</v>
      </c>
      <c r="AY14" s="530">
        <f>AW14*2</f>
        <v>0</v>
      </c>
      <c r="AZ14" s="525"/>
      <c r="BA14" s="525"/>
      <c r="BB14" s="525"/>
      <c r="BC14" s="525"/>
      <c r="BD14" s="525"/>
      <c r="BE14" s="525"/>
      <c r="BF14" s="525"/>
      <c r="BG14" s="525"/>
      <c r="BH14" s="525"/>
      <c r="BI14" s="525"/>
      <c r="BJ14" s="525"/>
      <c r="BK14" s="525"/>
      <c r="BL14" s="525"/>
      <c r="BM14" s="525"/>
      <c r="BN14" s="525"/>
      <c r="BO14" s="525"/>
      <c r="BP14" s="525"/>
      <c r="BQ14" s="525"/>
      <c r="BR14" s="525"/>
      <c r="BS14" s="525"/>
      <c r="BT14" s="525"/>
      <c r="BU14" s="525"/>
      <c r="BV14" s="525"/>
      <c r="BW14" s="525"/>
      <c r="BX14" s="525"/>
      <c r="BY14" s="525"/>
    </row>
    <row r="15" spans="1:77" s="511" customFormat="1" ht="28.5" thickBot="1">
      <c r="A15" s="563" t="s">
        <v>91</v>
      </c>
      <c r="B15" s="564">
        <f t="shared" si="18"/>
        <v>29</v>
      </c>
      <c r="C15" s="565">
        <f t="shared" si="18"/>
        <v>30</v>
      </c>
      <c r="D15" s="526">
        <f>SUM([1]บช.น.!$R2:$R36)</f>
        <v>0</v>
      </c>
      <c r="E15" s="527">
        <f>SUM([1]บช.น.!$S2:$S36)</f>
        <v>0</v>
      </c>
      <c r="F15" s="528">
        <f>D15*4</f>
        <v>0</v>
      </c>
      <c r="G15" s="536">
        <f>SUM([1]ภ.1!$R2:$R36)</f>
        <v>7</v>
      </c>
      <c r="H15" s="536">
        <f>SUM([1]ภ.1!$S2:$S36)</f>
        <v>7</v>
      </c>
      <c r="I15" s="522">
        <f>G15*4</f>
        <v>28</v>
      </c>
      <c r="J15" s="523">
        <f>SUM([1]ภ.2!$R2:$R36)</f>
        <v>3</v>
      </c>
      <c r="K15" s="523">
        <f>SUM([1]ภ.2!$S2:$S36)</f>
        <v>4</v>
      </c>
      <c r="L15" s="529">
        <f>J15*4</f>
        <v>12</v>
      </c>
      <c r="M15" s="536">
        <f>SUM([1]ภ.3!$R2:$R36)</f>
        <v>1</v>
      </c>
      <c r="N15" s="536">
        <f>SUM([1]ภ.3!$S2:$S36)</f>
        <v>1</v>
      </c>
      <c r="O15" s="529">
        <f>M15*4</f>
        <v>4</v>
      </c>
      <c r="P15" s="523">
        <f>SUM([1]ภ.4!$R2:$R36)</f>
        <v>2</v>
      </c>
      <c r="Q15" s="523">
        <f>SUM([1]ภ.4!$S2:$S36)</f>
        <v>2</v>
      </c>
      <c r="R15" s="529">
        <f>P15*4</f>
        <v>8</v>
      </c>
      <c r="S15" s="536">
        <f>SUM([1]ภ.5!$R2:$R36)</f>
        <v>6</v>
      </c>
      <c r="T15" s="536">
        <f>SUM([1]ภ.5!$S2:$S36)</f>
        <v>6</v>
      </c>
      <c r="U15" s="529">
        <f>S15*4</f>
        <v>24</v>
      </c>
      <c r="V15" s="523">
        <f>SUM([1]ภ.6!$R2:$R36)</f>
        <v>1</v>
      </c>
      <c r="W15" s="523">
        <f>SUM([1]ภ.6!$S2:$S36)</f>
        <v>1</v>
      </c>
      <c r="X15" s="529">
        <f>V15*4</f>
        <v>4</v>
      </c>
      <c r="Y15" s="536">
        <f>SUM([1]ภ.7!$R2:$R36)</f>
        <v>2</v>
      </c>
      <c r="Z15" s="536">
        <f>SUM([1]ภ.7!$S2:$S36)</f>
        <v>2</v>
      </c>
      <c r="AA15" s="529">
        <f>Y15*4</f>
        <v>8</v>
      </c>
      <c r="AB15" s="523">
        <f>SUM([1]ภ.8!$R2:$R36)</f>
        <v>0</v>
      </c>
      <c r="AC15" s="523">
        <f>SUM([1]ภ.8!$S2:$S36)</f>
        <v>0</v>
      </c>
      <c r="AD15" s="529">
        <f>AB15*4</f>
        <v>0</v>
      </c>
      <c r="AE15" s="536">
        <f>SUM([1]ภ.9!$R2:$R36)</f>
        <v>0</v>
      </c>
      <c r="AF15" s="536">
        <f>SUM([1]ภ.9!$S2:$S36)</f>
        <v>0</v>
      </c>
      <c r="AG15" s="529">
        <f>AE15*4</f>
        <v>0</v>
      </c>
      <c r="AH15" s="523">
        <f>SUM([1]บช.ก.!$R2:$R36)</f>
        <v>3</v>
      </c>
      <c r="AI15" s="523">
        <f>SUM([1]บช.ก.!$S2:$S36)</f>
        <v>3</v>
      </c>
      <c r="AJ15" s="529">
        <f>AH15*4</f>
        <v>12</v>
      </c>
      <c r="AK15" s="536">
        <f>SUM([1]บช.สอท.!$R2:$R36)</f>
        <v>4</v>
      </c>
      <c r="AL15" s="536">
        <f>SUM([1]บช.สอท.!$S2:$S36)</f>
        <v>4</v>
      </c>
      <c r="AM15" s="529">
        <f>AK15*4</f>
        <v>16</v>
      </c>
      <c r="AN15" s="523">
        <f>SUM([1]บช.ปส.!$R2:$R36)</f>
        <v>0</v>
      </c>
      <c r="AO15" s="523">
        <f>SUM([1]บช.ปส.!$S2:$S36)</f>
        <v>0</v>
      </c>
      <c r="AP15" s="529">
        <f>AN15*4</f>
        <v>0</v>
      </c>
      <c r="AQ15" s="536">
        <f>SUM([1]สตม.!$R2:$R36)</f>
        <v>0</v>
      </c>
      <c r="AR15" s="536">
        <f>SUM([1]สตม.!$S2:$S36)</f>
        <v>0</v>
      </c>
      <c r="AS15" s="529">
        <f>AQ15*4</f>
        <v>0</v>
      </c>
      <c r="AT15" s="523">
        <f>SUM([1]บช.ทท.!$R2:$R36)</f>
        <v>0</v>
      </c>
      <c r="AU15" s="523">
        <f>SUM([1]บช.ทท.!$S2:$S36)</f>
        <v>0</v>
      </c>
      <c r="AV15" s="529">
        <f>AT15*4</f>
        <v>0</v>
      </c>
      <c r="AW15" s="536">
        <f>SUM([1]บช.ตชด.!$R2:$R36)</f>
        <v>0</v>
      </c>
      <c r="AX15" s="536">
        <f>SUM([1]บช.ตชด.!$S2:$S36)</f>
        <v>0</v>
      </c>
      <c r="AY15" s="529">
        <f>AW15*4</f>
        <v>0</v>
      </c>
      <c r="AZ15" s="525"/>
      <c r="BA15" s="525"/>
      <c r="BB15" s="525"/>
      <c r="BC15" s="525"/>
      <c r="BD15" s="525"/>
      <c r="BE15" s="525"/>
      <c r="BF15" s="525"/>
      <c r="BG15" s="525"/>
      <c r="BH15" s="525"/>
      <c r="BI15" s="525"/>
      <c r="BJ15" s="525"/>
      <c r="BK15" s="525"/>
      <c r="BL15" s="525"/>
      <c r="BM15" s="525"/>
      <c r="BN15" s="525"/>
      <c r="BO15" s="525"/>
      <c r="BP15" s="525"/>
      <c r="BQ15" s="525"/>
      <c r="BR15" s="525"/>
      <c r="BS15" s="525"/>
      <c r="BT15" s="525"/>
      <c r="BU15" s="525"/>
      <c r="BV15" s="525"/>
      <c r="BW15" s="525"/>
      <c r="BX15" s="525"/>
      <c r="BY15" s="525"/>
    </row>
    <row r="16" spans="1:77" s="511" customFormat="1" ht="28.5" thickBot="1">
      <c r="A16" s="563" t="s">
        <v>92</v>
      </c>
      <c r="B16" s="564">
        <f t="shared" si="18"/>
        <v>4</v>
      </c>
      <c r="C16" s="565">
        <f t="shared" si="18"/>
        <v>5</v>
      </c>
      <c r="D16" s="526">
        <f>SUM([1]บช.น.!$T2:$T36)</f>
        <v>0</v>
      </c>
      <c r="E16" s="527">
        <f>SUM([1]บช.น.!$U2:$U36)</f>
        <v>0</v>
      </c>
      <c r="F16" s="528">
        <f t="shared" ref="F16:F18" si="19">D16*3</f>
        <v>0</v>
      </c>
      <c r="G16" s="536">
        <f>SUM([1]ภ.1!$T2:$T36)</f>
        <v>0</v>
      </c>
      <c r="H16" s="536">
        <f>SUM([1]ภ.1!$U2:$U36)</f>
        <v>0</v>
      </c>
      <c r="I16" s="522">
        <f t="shared" ref="I16:I18" si="20">G16*3</f>
        <v>0</v>
      </c>
      <c r="J16" s="523">
        <f>SUM([1]ภ.2!$T2:$T36)</f>
        <v>0</v>
      </c>
      <c r="K16" s="523">
        <f>SUM([1]ภ.2!$U2:$U36)</f>
        <v>0</v>
      </c>
      <c r="L16" s="530">
        <f t="shared" ref="L16:L18" si="21">J16*3</f>
        <v>0</v>
      </c>
      <c r="M16" s="536">
        <f>SUM([1]ภ.3!$T2:$T36)</f>
        <v>0</v>
      </c>
      <c r="N16" s="536">
        <f>SUM([1]ภ.3!$U2:$U36)</f>
        <v>0</v>
      </c>
      <c r="O16" s="530">
        <f t="shared" ref="O16:O18" si="22">M16*3</f>
        <v>0</v>
      </c>
      <c r="P16" s="523">
        <f>SUM([1]ภ.4!$T2:$T36)</f>
        <v>1</v>
      </c>
      <c r="Q16" s="523">
        <f>SUM([1]ภ.4!$U2:$U36)</f>
        <v>1</v>
      </c>
      <c r="R16" s="530">
        <f t="shared" ref="R16:R18" si="23">P16*3</f>
        <v>3</v>
      </c>
      <c r="S16" s="536">
        <f>SUM([1]ภ.5!$T2:$T36)</f>
        <v>0</v>
      </c>
      <c r="T16" s="536">
        <f>SUM([1]ภ.5!$U2:$U36)</f>
        <v>0</v>
      </c>
      <c r="U16" s="530">
        <f t="shared" ref="U16:U18" si="24">S16*3</f>
        <v>0</v>
      </c>
      <c r="V16" s="523">
        <f>SUM([1]ภ.6!$T2:$T36)</f>
        <v>0</v>
      </c>
      <c r="W16" s="523">
        <f>SUM([1]ภ.6!$U2:$U36)</f>
        <v>0</v>
      </c>
      <c r="X16" s="530">
        <f t="shared" ref="X16:X18" si="25">V16*3</f>
        <v>0</v>
      </c>
      <c r="Y16" s="536">
        <f>SUM([1]ภ.7!$T2:$T36)</f>
        <v>1</v>
      </c>
      <c r="Z16" s="536">
        <f>SUM([1]ภ.7!$U2:$U36)</f>
        <v>2</v>
      </c>
      <c r="AA16" s="530">
        <f t="shared" ref="AA16:AA18" si="26">Y16*3</f>
        <v>3</v>
      </c>
      <c r="AB16" s="523">
        <f>SUM([1]ภ.8!$T2:$T36)</f>
        <v>0</v>
      </c>
      <c r="AC16" s="523">
        <f>SUM([1]ภ.8!$U2:$U36)</f>
        <v>0</v>
      </c>
      <c r="AD16" s="530">
        <f t="shared" ref="AD16:AD18" si="27">AB16*3</f>
        <v>0</v>
      </c>
      <c r="AE16" s="536">
        <f>SUM([1]ภ.9!$T2:$T36)</f>
        <v>0</v>
      </c>
      <c r="AF16" s="536">
        <f>SUM([1]ภ.9!$U2:$U36)</f>
        <v>0</v>
      </c>
      <c r="AG16" s="530">
        <f t="shared" ref="AG16:AG18" si="28">AE16*3</f>
        <v>0</v>
      </c>
      <c r="AH16" s="523">
        <f>SUM([1]บช.ก.!$T2:$T36)</f>
        <v>0</v>
      </c>
      <c r="AI16" s="523">
        <f>SUM([1]บช.ก.!$U2:$U36)</f>
        <v>0</v>
      </c>
      <c r="AJ16" s="530">
        <f t="shared" ref="AJ16:AJ18" si="29">AH16*3</f>
        <v>0</v>
      </c>
      <c r="AK16" s="536">
        <f>SUM([1]บช.สอท.!$T2:$T36)</f>
        <v>2</v>
      </c>
      <c r="AL16" s="536">
        <f>SUM([1]บช.สอท.!$U2:$U36)</f>
        <v>2</v>
      </c>
      <c r="AM16" s="530">
        <f t="shared" ref="AM16:AM18" si="30">AK16*3</f>
        <v>6</v>
      </c>
      <c r="AN16" s="523">
        <f>SUM([1]บช.ปส.!$T2:$T36)</f>
        <v>0</v>
      </c>
      <c r="AO16" s="523">
        <f>SUM([1]บช.ปส.!$U2:$U36)</f>
        <v>0</v>
      </c>
      <c r="AP16" s="530">
        <f t="shared" ref="AP16:AP18" si="31">AN16*3</f>
        <v>0</v>
      </c>
      <c r="AQ16" s="536">
        <f>SUM([1]สตม.!$T2:$T36)</f>
        <v>0</v>
      </c>
      <c r="AR16" s="536">
        <f>SUM([1]สตม.!$U2:$U36)</f>
        <v>0</v>
      </c>
      <c r="AS16" s="530">
        <f t="shared" ref="AS16:AS18" si="32">AQ16*3</f>
        <v>0</v>
      </c>
      <c r="AT16" s="523">
        <f>SUM([1]บช.ทท.!$T2:$T36)</f>
        <v>0</v>
      </c>
      <c r="AU16" s="523">
        <f>SUM([1]บช.ทท.!$U2:$U36)</f>
        <v>0</v>
      </c>
      <c r="AV16" s="530">
        <f t="shared" ref="AV16:AV18" si="33">AT16*3</f>
        <v>0</v>
      </c>
      <c r="AW16" s="536">
        <f>SUM([1]บช.ตชด.!$T2:$T36)</f>
        <v>0</v>
      </c>
      <c r="AX16" s="536">
        <f>SUM([1]บช.ตชด.!$U2:$U36)</f>
        <v>0</v>
      </c>
      <c r="AY16" s="530">
        <f t="shared" ref="AY16:AY18" si="34">AW16*3</f>
        <v>0</v>
      </c>
      <c r="AZ16" s="525"/>
      <c r="BA16" s="525"/>
      <c r="BB16" s="525"/>
      <c r="BC16" s="525"/>
      <c r="BD16" s="525"/>
      <c r="BE16" s="525"/>
      <c r="BF16" s="525"/>
      <c r="BG16" s="525"/>
      <c r="BH16" s="525"/>
      <c r="BI16" s="525"/>
      <c r="BJ16" s="525"/>
      <c r="BK16" s="525"/>
      <c r="BL16" s="525"/>
      <c r="BM16" s="525"/>
      <c r="BN16" s="525"/>
      <c r="BO16" s="525"/>
      <c r="BP16" s="525"/>
      <c r="BQ16" s="525"/>
      <c r="BR16" s="525"/>
      <c r="BS16" s="525"/>
      <c r="BT16" s="525"/>
      <c r="BU16" s="525"/>
      <c r="BV16" s="525"/>
      <c r="BW16" s="525"/>
      <c r="BX16" s="525"/>
      <c r="BY16" s="525"/>
    </row>
    <row r="17" spans="1:77" s="511" customFormat="1" ht="28.5" thickBot="1">
      <c r="A17" s="563" t="s">
        <v>93</v>
      </c>
      <c r="B17" s="564">
        <f t="shared" si="18"/>
        <v>3</v>
      </c>
      <c r="C17" s="565">
        <f t="shared" si="18"/>
        <v>3</v>
      </c>
      <c r="D17" s="526">
        <f>SUM([1]บช.น.!$V2:$V36)</f>
        <v>0</v>
      </c>
      <c r="E17" s="527">
        <f>SUM([1]บช.น.!$W$2:$W36)</f>
        <v>0</v>
      </c>
      <c r="F17" s="528">
        <f t="shared" si="19"/>
        <v>0</v>
      </c>
      <c r="G17" s="536">
        <f>SUM([1]ภ.1!$V2:$V36)</f>
        <v>0</v>
      </c>
      <c r="H17" s="536">
        <f>SUM([1]ภ.1!$W$2:$W36)</f>
        <v>0</v>
      </c>
      <c r="I17" s="522">
        <f t="shared" si="20"/>
        <v>0</v>
      </c>
      <c r="J17" s="523">
        <f>SUM([1]ภ.2!$V2:$V36)</f>
        <v>0</v>
      </c>
      <c r="K17" s="523">
        <f>SUM([1]ภ.2!$W$2:$W36)</f>
        <v>0</v>
      </c>
      <c r="L17" s="529">
        <f t="shared" si="21"/>
        <v>0</v>
      </c>
      <c r="M17" s="536">
        <f>SUM([1]ภ.3!$V2:$V36)</f>
        <v>0</v>
      </c>
      <c r="N17" s="536">
        <f>SUM([1]ภ.3!$W$2:$W36)</f>
        <v>0</v>
      </c>
      <c r="O17" s="529">
        <f t="shared" si="22"/>
        <v>0</v>
      </c>
      <c r="P17" s="523">
        <f>SUM([1]ภ.4!$V2:$V36)</f>
        <v>0</v>
      </c>
      <c r="Q17" s="523">
        <f>SUM([1]ภ.4!$W$2:$W36)</f>
        <v>0</v>
      </c>
      <c r="R17" s="529">
        <f t="shared" si="23"/>
        <v>0</v>
      </c>
      <c r="S17" s="536">
        <f>SUM([1]ภ.5!$V2:$V36)</f>
        <v>0</v>
      </c>
      <c r="T17" s="536">
        <f>SUM([1]ภ.5!$W$2:$W36)</f>
        <v>0</v>
      </c>
      <c r="U17" s="529">
        <f t="shared" si="24"/>
        <v>0</v>
      </c>
      <c r="V17" s="523">
        <f>SUM([1]ภ.6!$V2:$V36)</f>
        <v>0</v>
      </c>
      <c r="W17" s="523">
        <f>SUM([1]ภ.6!$W$2:$W36)</f>
        <v>0</v>
      </c>
      <c r="X17" s="529">
        <f t="shared" si="25"/>
        <v>0</v>
      </c>
      <c r="Y17" s="536">
        <f>SUM([1]ภ.7!$V2:$V36)</f>
        <v>0</v>
      </c>
      <c r="Z17" s="536">
        <f>SUM([1]ภ.7!$W$2:$W36)</f>
        <v>0</v>
      </c>
      <c r="AA17" s="529">
        <f t="shared" si="26"/>
        <v>0</v>
      </c>
      <c r="AB17" s="523">
        <f>SUM([1]ภ.8!$V2:$V36)</f>
        <v>0</v>
      </c>
      <c r="AC17" s="523">
        <f>SUM([1]ภ.8!$W$2:$W36)</f>
        <v>0</v>
      </c>
      <c r="AD17" s="529">
        <f t="shared" si="27"/>
        <v>0</v>
      </c>
      <c r="AE17" s="536">
        <f>SUM([1]ภ.9!$V2:$V36)</f>
        <v>0</v>
      </c>
      <c r="AF17" s="536">
        <f>SUM([1]ภ.9!$W$2:$W36)</f>
        <v>0</v>
      </c>
      <c r="AG17" s="529">
        <f t="shared" si="28"/>
        <v>0</v>
      </c>
      <c r="AH17" s="523">
        <f>SUM([1]บช.ก.!$V2:$V36)</f>
        <v>3</v>
      </c>
      <c r="AI17" s="523">
        <f>SUM([1]บช.ก.!$W$2:$W36)</f>
        <v>3</v>
      </c>
      <c r="AJ17" s="529">
        <f t="shared" si="29"/>
        <v>9</v>
      </c>
      <c r="AK17" s="536">
        <f>SUM([1]บช.สอท.!$V2:$V36)</f>
        <v>0</v>
      </c>
      <c r="AL17" s="536">
        <f>SUM([1]บช.สอท.!$W$2:$W36)</f>
        <v>0</v>
      </c>
      <c r="AM17" s="529">
        <f t="shared" si="30"/>
        <v>0</v>
      </c>
      <c r="AN17" s="523">
        <f>SUM([1]บช.ปส.!$V2:$V36)</f>
        <v>0</v>
      </c>
      <c r="AO17" s="523">
        <f>SUM([1]บช.ปส.!$W$2:$W36)</f>
        <v>0</v>
      </c>
      <c r="AP17" s="529">
        <f t="shared" si="31"/>
        <v>0</v>
      </c>
      <c r="AQ17" s="536">
        <f>SUM([1]สตม.!$V2:$V36)</f>
        <v>0</v>
      </c>
      <c r="AR17" s="536">
        <f>SUM([1]สตม.!$W$2:$W36)</f>
        <v>0</v>
      </c>
      <c r="AS17" s="529">
        <f t="shared" si="32"/>
        <v>0</v>
      </c>
      <c r="AT17" s="523">
        <f>SUM([1]บช.ทท.!$V2:$V36)</f>
        <v>0</v>
      </c>
      <c r="AU17" s="523">
        <f>SUM([1]บช.ทท.!$W$2:$W36)</f>
        <v>0</v>
      </c>
      <c r="AV17" s="529">
        <f t="shared" si="33"/>
        <v>0</v>
      </c>
      <c r="AW17" s="536">
        <f>SUM([1]บช.ตชด.!$V2:$V36)</f>
        <v>0</v>
      </c>
      <c r="AX17" s="536">
        <f>SUM([1]บช.ตชด.!$W$2:$W36)</f>
        <v>0</v>
      </c>
      <c r="AY17" s="529">
        <f t="shared" si="34"/>
        <v>0</v>
      </c>
      <c r="AZ17" s="525"/>
      <c r="BA17" s="525"/>
      <c r="BB17" s="525"/>
      <c r="BC17" s="525"/>
      <c r="BD17" s="525"/>
      <c r="BE17" s="525"/>
      <c r="BF17" s="525"/>
      <c r="BG17" s="525"/>
      <c r="BH17" s="525"/>
      <c r="BI17" s="525"/>
      <c r="BJ17" s="525"/>
      <c r="BK17" s="525"/>
      <c r="BL17" s="525"/>
      <c r="BM17" s="525"/>
      <c r="BN17" s="525"/>
      <c r="BO17" s="525"/>
      <c r="BP17" s="525"/>
      <c r="BQ17" s="525"/>
      <c r="BR17" s="525"/>
      <c r="BS17" s="525"/>
      <c r="BT17" s="525"/>
      <c r="BU17" s="525"/>
      <c r="BV17" s="525"/>
      <c r="BW17" s="525"/>
      <c r="BX17" s="525"/>
      <c r="BY17" s="525"/>
    </row>
    <row r="18" spans="1:77" s="511" customFormat="1" ht="28.5" thickBot="1">
      <c r="A18" s="563" t="s">
        <v>94</v>
      </c>
      <c r="B18" s="564">
        <f t="shared" si="18"/>
        <v>14</v>
      </c>
      <c r="C18" s="565">
        <f t="shared" si="18"/>
        <v>20</v>
      </c>
      <c r="D18" s="526">
        <f>SUM([1]บช.น.!$X2:$X36)</f>
        <v>4</v>
      </c>
      <c r="E18" s="527">
        <f>SUM([1]บช.น.!$Y2:$Y36)</f>
        <v>4</v>
      </c>
      <c r="F18" s="528">
        <f t="shared" si="19"/>
        <v>12</v>
      </c>
      <c r="G18" s="536">
        <f>SUM([1]ภ.1!$X2:$X36)</f>
        <v>0</v>
      </c>
      <c r="H18" s="536">
        <f>SUM([1]ภ.1!$Y2:$Y36)</f>
        <v>0</v>
      </c>
      <c r="I18" s="522">
        <f t="shared" si="20"/>
        <v>0</v>
      </c>
      <c r="J18" s="523">
        <f>SUM([1]ภ.2!$X2:$X36)</f>
        <v>2</v>
      </c>
      <c r="K18" s="523">
        <f>SUM([1]ภ.2!$Y2:$Y36)</f>
        <v>2</v>
      </c>
      <c r="L18" s="530">
        <f t="shared" si="21"/>
        <v>6</v>
      </c>
      <c r="M18" s="536">
        <f>SUM([1]ภ.3!$X2:$X36)</f>
        <v>0</v>
      </c>
      <c r="N18" s="536">
        <f>SUM([1]ภ.3!$Y2:$Y36)</f>
        <v>0</v>
      </c>
      <c r="O18" s="530">
        <f t="shared" si="22"/>
        <v>0</v>
      </c>
      <c r="P18" s="523">
        <f>SUM([1]ภ.4!$X2:$X36)</f>
        <v>1</v>
      </c>
      <c r="Q18" s="523">
        <f>SUM([1]ภ.4!$Y2:$Y36)</f>
        <v>1</v>
      </c>
      <c r="R18" s="530">
        <f t="shared" si="23"/>
        <v>3</v>
      </c>
      <c r="S18" s="536">
        <f>SUM([1]ภ.5!$X2:$X36)</f>
        <v>0</v>
      </c>
      <c r="T18" s="536">
        <f>SUM([1]ภ.5!$Y2:$Y36)</f>
        <v>0</v>
      </c>
      <c r="U18" s="530">
        <f t="shared" si="24"/>
        <v>0</v>
      </c>
      <c r="V18" s="523">
        <f>SUM([1]ภ.6!$X2:$X36)</f>
        <v>0</v>
      </c>
      <c r="W18" s="523">
        <f>SUM([1]ภ.6!$Y2:$Y36)</f>
        <v>0</v>
      </c>
      <c r="X18" s="530">
        <f t="shared" si="25"/>
        <v>0</v>
      </c>
      <c r="Y18" s="536">
        <f>SUM([1]ภ.7!$X2:$X36)</f>
        <v>0</v>
      </c>
      <c r="Z18" s="536">
        <f>SUM([1]ภ.7!$Y2:$Y36)</f>
        <v>0</v>
      </c>
      <c r="AA18" s="530">
        <f t="shared" si="26"/>
        <v>0</v>
      </c>
      <c r="AB18" s="523">
        <f>SUM([1]ภ.8!$X2:$X36)</f>
        <v>1</v>
      </c>
      <c r="AC18" s="523">
        <f>SUM([1]ภ.8!$Y2:$Y36)</f>
        <v>1</v>
      </c>
      <c r="AD18" s="530">
        <f t="shared" si="27"/>
        <v>3</v>
      </c>
      <c r="AE18" s="536">
        <f>SUM([1]ภ.9!$X2:$X36)</f>
        <v>3</v>
      </c>
      <c r="AF18" s="536">
        <f>SUM([1]ภ.9!$Y2:$Y36)</f>
        <v>8</v>
      </c>
      <c r="AG18" s="530">
        <f t="shared" si="28"/>
        <v>9</v>
      </c>
      <c r="AH18" s="523">
        <f>SUM([1]บช.ก.!$X2:$X36)</f>
        <v>0</v>
      </c>
      <c r="AI18" s="523">
        <f>SUM([1]บช.ก.!$Y2:$Y36)</f>
        <v>0</v>
      </c>
      <c r="AJ18" s="530">
        <f t="shared" si="29"/>
        <v>0</v>
      </c>
      <c r="AK18" s="536">
        <f>SUM([1]บช.สอท.!$X2:$X36)</f>
        <v>2</v>
      </c>
      <c r="AL18" s="536">
        <f>SUM([1]บช.สอท.!$Y2:$Y36)</f>
        <v>3</v>
      </c>
      <c r="AM18" s="530">
        <f t="shared" si="30"/>
        <v>6</v>
      </c>
      <c r="AN18" s="523">
        <f>SUM([1]บช.ปส.!$X2:$X36)</f>
        <v>0</v>
      </c>
      <c r="AO18" s="523">
        <f>SUM([1]บช.ปส.!$Y2:$Y36)</f>
        <v>0</v>
      </c>
      <c r="AP18" s="530">
        <f t="shared" si="31"/>
        <v>0</v>
      </c>
      <c r="AQ18" s="536">
        <f>SUM([1]สตม.!$X2:$X36)</f>
        <v>1</v>
      </c>
      <c r="AR18" s="536">
        <f>SUM([1]สตม.!$Y2:$Y36)</f>
        <v>1</v>
      </c>
      <c r="AS18" s="530">
        <f t="shared" si="32"/>
        <v>3</v>
      </c>
      <c r="AT18" s="523">
        <f>SUM([1]บช.ทท.!$X2:$X36)</f>
        <v>0</v>
      </c>
      <c r="AU18" s="523">
        <f>SUM([1]บช.ทท.!$Y2:$Y36)</f>
        <v>0</v>
      </c>
      <c r="AV18" s="530">
        <f t="shared" si="33"/>
        <v>0</v>
      </c>
      <c r="AW18" s="536">
        <f>SUM([1]บช.ตชด.!$X2:$X36)</f>
        <v>0</v>
      </c>
      <c r="AX18" s="536">
        <f>SUM([1]บช.ตชด.!$Y2:$Y36)</f>
        <v>0</v>
      </c>
      <c r="AY18" s="530">
        <f t="shared" si="34"/>
        <v>0</v>
      </c>
      <c r="AZ18" s="525"/>
      <c r="BA18" s="525"/>
      <c r="BB18" s="525"/>
      <c r="BC18" s="525"/>
      <c r="BD18" s="525"/>
      <c r="BE18" s="525"/>
      <c r="BF18" s="525"/>
      <c r="BG18" s="525"/>
      <c r="BH18" s="525"/>
      <c r="BI18" s="525"/>
      <c r="BJ18" s="525"/>
      <c r="BK18" s="525"/>
      <c r="BL18" s="525"/>
      <c r="BM18" s="525"/>
      <c r="BN18" s="525"/>
      <c r="BO18" s="525"/>
      <c r="BP18" s="525"/>
      <c r="BQ18" s="525"/>
      <c r="BR18" s="525"/>
      <c r="BS18" s="525"/>
      <c r="BT18" s="525"/>
      <c r="BU18" s="525"/>
      <c r="BV18" s="525"/>
      <c r="BW18" s="525"/>
      <c r="BX18" s="525"/>
      <c r="BY18" s="525"/>
    </row>
    <row r="19" spans="1:77" s="531" customFormat="1" ht="28.5" thickBot="1">
      <c r="A19" s="557" t="s">
        <v>32</v>
      </c>
      <c r="B19" s="558">
        <f t="shared" ref="B19:AY19" si="35">SUM(B13:B18)</f>
        <v>112</v>
      </c>
      <c r="C19" s="559">
        <f t="shared" si="35"/>
        <v>117</v>
      </c>
      <c r="D19" s="512">
        <f t="shared" si="35"/>
        <v>16</v>
      </c>
      <c r="E19" s="513">
        <f t="shared" si="35"/>
        <v>17</v>
      </c>
      <c r="F19" s="514">
        <f t="shared" si="35"/>
        <v>54</v>
      </c>
      <c r="G19" s="516">
        <f t="shared" si="35"/>
        <v>7</v>
      </c>
      <c r="H19" s="516">
        <f t="shared" si="35"/>
        <v>7</v>
      </c>
      <c r="I19" s="516">
        <f t="shared" si="35"/>
        <v>28</v>
      </c>
      <c r="J19" s="516">
        <f t="shared" si="35"/>
        <v>5</v>
      </c>
      <c r="K19" s="516">
        <f t="shared" si="35"/>
        <v>6</v>
      </c>
      <c r="L19" s="517">
        <f t="shared" si="35"/>
        <v>18</v>
      </c>
      <c r="M19" s="516">
        <f t="shared" si="35"/>
        <v>1</v>
      </c>
      <c r="N19" s="516">
        <f t="shared" si="35"/>
        <v>1</v>
      </c>
      <c r="O19" s="517">
        <f t="shared" si="35"/>
        <v>4</v>
      </c>
      <c r="P19" s="516">
        <f t="shared" si="35"/>
        <v>17</v>
      </c>
      <c r="Q19" s="516">
        <f t="shared" si="35"/>
        <v>17</v>
      </c>
      <c r="R19" s="517">
        <f t="shared" si="35"/>
        <v>76</v>
      </c>
      <c r="S19" s="516">
        <f t="shared" si="35"/>
        <v>6</v>
      </c>
      <c r="T19" s="516">
        <f t="shared" si="35"/>
        <v>6</v>
      </c>
      <c r="U19" s="517">
        <f t="shared" si="35"/>
        <v>24</v>
      </c>
      <c r="V19" s="516">
        <f t="shared" si="35"/>
        <v>3</v>
      </c>
      <c r="W19" s="516">
        <f t="shared" si="35"/>
        <v>2</v>
      </c>
      <c r="X19" s="517">
        <f t="shared" si="35"/>
        <v>11</v>
      </c>
      <c r="Y19" s="516">
        <f t="shared" si="35"/>
        <v>3</v>
      </c>
      <c r="Z19" s="516">
        <f t="shared" si="35"/>
        <v>4</v>
      </c>
      <c r="AA19" s="517">
        <f t="shared" si="35"/>
        <v>11</v>
      </c>
      <c r="AB19" s="516">
        <f t="shared" si="35"/>
        <v>2</v>
      </c>
      <c r="AC19" s="516">
        <f t="shared" si="35"/>
        <v>2</v>
      </c>
      <c r="AD19" s="517">
        <f t="shared" si="35"/>
        <v>8</v>
      </c>
      <c r="AE19" s="516">
        <f t="shared" si="35"/>
        <v>16</v>
      </c>
      <c r="AF19" s="516">
        <f t="shared" si="35"/>
        <v>20</v>
      </c>
      <c r="AG19" s="517">
        <f t="shared" si="35"/>
        <v>68</v>
      </c>
      <c r="AH19" s="516">
        <f t="shared" si="35"/>
        <v>16</v>
      </c>
      <c r="AI19" s="516">
        <f t="shared" si="35"/>
        <v>15</v>
      </c>
      <c r="AJ19" s="517">
        <f t="shared" si="35"/>
        <v>71</v>
      </c>
      <c r="AK19" s="516">
        <f t="shared" si="35"/>
        <v>13</v>
      </c>
      <c r="AL19" s="516">
        <f t="shared" si="35"/>
        <v>14</v>
      </c>
      <c r="AM19" s="517">
        <f t="shared" si="35"/>
        <v>38</v>
      </c>
      <c r="AN19" s="516">
        <f t="shared" si="35"/>
        <v>4</v>
      </c>
      <c r="AO19" s="516">
        <f t="shared" si="35"/>
        <v>3</v>
      </c>
      <c r="AP19" s="517">
        <f t="shared" si="35"/>
        <v>20</v>
      </c>
      <c r="AQ19" s="516">
        <f t="shared" si="35"/>
        <v>3</v>
      </c>
      <c r="AR19" s="516">
        <f t="shared" si="35"/>
        <v>3</v>
      </c>
      <c r="AS19" s="517">
        <f t="shared" si="35"/>
        <v>10</v>
      </c>
      <c r="AT19" s="516">
        <f t="shared" si="35"/>
        <v>0</v>
      </c>
      <c r="AU19" s="516">
        <f t="shared" si="35"/>
        <v>0</v>
      </c>
      <c r="AV19" s="517">
        <f t="shared" si="35"/>
        <v>0</v>
      </c>
      <c r="AW19" s="516">
        <f t="shared" si="35"/>
        <v>0</v>
      </c>
      <c r="AX19" s="516">
        <f t="shared" si="35"/>
        <v>0</v>
      </c>
      <c r="AY19" s="517">
        <f t="shared" si="35"/>
        <v>0</v>
      </c>
      <c r="AZ19" s="518"/>
      <c r="BA19" s="518"/>
      <c r="BB19" s="518"/>
      <c r="BC19" s="518"/>
      <c r="BD19" s="518"/>
      <c r="BE19" s="518"/>
      <c r="BF19" s="518"/>
      <c r="BG19" s="518"/>
      <c r="BH19" s="518"/>
      <c r="BI19" s="518"/>
      <c r="BJ19" s="518"/>
      <c r="BK19" s="518"/>
      <c r="BL19" s="518"/>
      <c r="BM19" s="518"/>
      <c r="BN19" s="518"/>
      <c r="BO19" s="518"/>
      <c r="BP19" s="518"/>
      <c r="BQ19" s="518"/>
      <c r="BR19" s="518"/>
      <c r="BS19" s="518"/>
      <c r="BT19" s="518"/>
      <c r="BU19" s="518"/>
      <c r="BV19" s="518"/>
      <c r="BW19" s="518"/>
      <c r="BX19" s="518"/>
      <c r="BY19" s="518"/>
    </row>
    <row r="20" spans="1:77" s="511" customFormat="1" ht="28.5" thickBot="1">
      <c r="A20" s="560" t="s">
        <v>95</v>
      </c>
      <c r="B20" s="561"/>
      <c r="C20" s="562"/>
      <c r="D20" s="532"/>
      <c r="E20" s="533"/>
      <c r="F20" s="534"/>
      <c r="G20" s="535"/>
      <c r="H20" s="535"/>
      <c r="I20" s="515"/>
      <c r="J20" s="516"/>
      <c r="K20" s="516"/>
      <c r="L20" s="524"/>
      <c r="M20" s="535"/>
      <c r="N20" s="535"/>
      <c r="O20" s="524"/>
      <c r="P20" s="516"/>
      <c r="Q20" s="516"/>
      <c r="R20" s="524"/>
      <c r="S20" s="535"/>
      <c r="T20" s="535"/>
      <c r="U20" s="524"/>
      <c r="V20" s="516"/>
      <c r="W20" s="516"/>
      <c r="X20" s="524"/>
      <c r="Y20" s="535"/>
      <c r="Z20" s="535"/>
      <c r="AA20" s="524"/>
      <c r="AB20" s="516"/>
      <c r="AC20" s="516"/>
      <c r="AD20" s="524"/>
      <c r="AE20" s="535"/>
      <c r="AF20" s="535"/>
      <c r="AG20" s="524"/>
      <c r="AH20" s="516"/>
      <c r="AI20" s="516"/>
      <c r="AJ20" s="524"/>
      <c r="AK20" s="535"/>
      <c r="AL20" s="535"/>
      <c r="AM20" s="524"/>
      <c r="AN20" s="516"/>
      <c r="AO20" s="516"/>
      <c r="AP20" s="524"/>
      <c r="AQ20" s="535"/>
      <c r="AR20" s="535"/>
      <c r="AS20" s="524"/>
      <c r="AT20" s="516"/>
      <c r="AU20" s="516"/>
      <c r="AV20" s="524"/>
      <c r="AW20" s="535"/>
      <c r="AX20" s="535"/>
      <c r="AY20" s="524"/>
      <c r="AZ20" s="518"/>
      <c r="BA20" s="518"/>
      <c r="BB20" s="518"/>
      <c r="BC20" s="518"/>
      <c r="BD20" s="518"/>
      <c r="BE20" s="518"/>
      <c r="BF20" s="518"/>
      <c r="BG20" s="518"/>
      <c r="BH20" s="518"/>
      <c r="BI20" s="518"/>
      <c r="BJ20" s="518"/>
      <c r="BK20" s="518"/>
      <c r="BL20" s="518"/>
      <c r="BM20" s="518"/>
      <c r="BN20" s="518"/>
      <c r="BO20" s="518"/>
      <c r="BP20" s="518"/>
      <c r="BQ20" s="518"/>
      <c r="BR20" s="518"/>
      <c r="BS20" s="518"/>
      <c r="BT20" s="518"/>
      <c r="BU20" s="518"/>
      <c r="BV20" s="518"/>
      <c r="BW20" s="518"/>
      <c r="BX20" s="518"/>
      <c r="BY20" s="518"/>
    </row>
    <row r="21" spans="1:77" s="511" customFormat="1" ht="28.5" thickBot="1">
      <c r="A21" s="563" t="s">
        <v>96</v>
      </c>
      <c r="B21" s="564">
        <f t="shared" ref="B21:C24" si="36">D21+G21+J21+M21+P21+S21+V21+Y21+AB21+AE21+AH21+AK21+AN21+AQ21+AT21+AW21</f>
        <v>143</v>
      </c>
      <c r="C21" s="565">
        <f t="shared" si="36"/>
        <v>133</v>
      </c>
      <c r="D21" s="526">
        <f>SUM([1]บช.น.!$Z2:$Z36)</f>
        <v>6</v>
      </c>
      <c r="E21" s="527">
        <f>SUM([1]บช.น.!$AA2:$AA36)</f>
        <v>6</v>
      </c>
      <c r="F21" s="528">
        <f t="shared" ref="F21:F22" si="37">D21*3</f>
        <v>18</v>
      </c>
      <c r="G21" s="536">
        <f>SUM([1]ภ.1!$Z2:$Z36)</f>
        <v>20</v>
      </c>
      <c r="H21" s="536">
        <f>SUM([1]ภ.1!$AA2:$AA36)</f>
        <v>12</v>
      </c>
      <c r="I21" s="522">
        <f t="shared" ref="I21:I22" si="38">G21*3</f>
        <v>60</v>
      </c>
      <c r="J21" s="523">
        <f>SUM([1]ภ.2!$Z2:$Z36)</f>
        <v>5</v>
      </c>
      <c r="K21" s="523">
        <f>SUM([1]ภ.2!$AA2:$AA36)</f>
        <v>5</v>
      </c>
      <c r="L21" s="529">
        <f t="shared" ref="L21:L22" si="39">J21*3</f>
        <v>15</v>
      </c>
      <c r="M21" s="536">
        <f>SUM([1]ภ.3!$Z2:$Z36)</f>
        <v>8</v>
      </c>
      <c r="N21" s="536">
        <f>SUM([1]ภ.3!$AA2:$AA36)</f>
        <v>8</v>
      </c>
      <c r="O21" s="529">
        <f t="shared" ref="O21:O22" si="40">M21*3</f>
        <v>24</v>
      </c>
      <c r="P21" s="523">
        <f>SUM([1]ภ.4!$Z2:$Z36)</f>
        <v>24</v>
      </c>
      <c r="Q21" s="523">
        <f>SUM([1]ภ.4!$AA2:$AA36)</f>
        <v>24</v>
      </c>
      <c r="R21" s="529">
        <f t="shared" ref="R21:R22" si="41">P21*3</f>
        <v>72</v>
      </c>
      <c r="S21" s="536">
        <f>SUM([1]ภ.5!$Z2:$Z36)</f>
        <v>16</v>
      </c>
      <c r="T21" s="536">
        <f>SUM([1]ภ.5!$AA2:$AA36)</f>
        <v>16</v>
      </c>
      <c r="U21" s="529">
        <f t="shared" ref="U21:U22" si="42">S21*3</f>
        <v>48</v>
      </c>
      <c r="V21" s="523">
        <f>SUM([1]ภ.6!$Z2:$Z36)</f>
        <v>5</v>
      </c>
      <c r="W21" s="523">
        <f>SUM([1]ภ.6!$AA2:$AA36)</f>
        <v>5</v>
      </c>
      <c r="X21" s="529">
        <f t="shared" ref="X21:X22" si="43">V21*3</f>
        <v>15</v>
      </c>
      <c r="Y21" s="536">
        <f>SUM([1]ภ.7!$Z2:$Z36)</f>
        <v>13</v>
      </c>
      <c r="Z21" s="536">
        <f>SUM([1]ภ.7!$AA2:$AA36)</f>
        <v>12</v>
      </c>
      <c r="AA21" s="529">
        <f t="shared" ref="AA21:AA22" si="44">Y21*3</f>
        <v>39</v>
      </c>
      <c r="AB21" s="523">
        <f>SUM([1]ภ.8!$Z2:$Z36)</f>
        <v>11</v>
      </c>
      <c r="AC21" s="523">
        <f>SUM([1]ภ.8!$AA2:$AA36)</f>
        <v>11</v>
      </c>
      <c r="AD21" s="529">
        <f t="shared" ref="AD21:AD22" si="45">AB21*3</f>
        <v>33</v>
      </c>
      <c r="AE21" s="536">
        <f>SUM([1]ภ.9!$Z2:$Z36)</f>
        <v>0</v>
      </c>
      <c r="AF21" s="536">
        <f>SUM([1]ภ.9!$AA2:$AA36)</f>
        <v>0</v>
      </c>
      <c r="AG21" s="529">
        <f t="shared" ref="AG21:AG22" si="46">AE21*3</f>
        <v>0</v>
      </c>
      <c r="AH21" s="523">
        <f>SUM([1]บช.ก.!$Z2:$Z36)</f>
        <v>8</v>
      </c>
      <c r="AI21" s="523">
        <f>SUM([1]บช.ก.!$AA2:$AA36)</f>
        <v>7</v>
      </c>
      <c r="AJ21" s="529">
        <f t="shared" ref="AJ21:AJ22" si="47">AH21*3</f>
        <v>24</v>
      </c>
      <c r="AK21" s="536">
        <f>SUM([1]บช.สอท.!$Z2:$Z36)</f>
        <v>27</v>
      </c>
      <c r="AL21" s="536">
        <f>SUM([1]บช.สอท.!$AA2:$AA36)</f>
        <v>27</v>
      </c>
      <c r="AM21" s="529">
        <f t="shared" ref="AM21:AM22" si="48">AK21*3</f>
        <v>81</v>
      </c>
      <c r="AN21" s="523">
        <f>SUM([1]บช.ปส.!$Z2:$Z36)</f>
        <v>0</v>
      </c>
      <c r="AO21" s="523">
        <f>SUM([1]บช.ปส.!$AA2:$AA36)</f>
        <v>0</v>
      </c>
      <c r="AP21" s="529">
        <f t="shared" ref="AP21:AP22" si="49">AN21*3</f>
        <v>0</v>
      </c>
      <c r="AQ21" s="536">
        <f>SUM([1]สตม.!$Z2:$Z36)</f>
        <v>0</v>
      </c>
      <c r="AR21" s="536">
        <f>SUM([1]สตม.!$AA2:$AA36)</f>
        <v>0</v>
      </c>
      <c r="AS21" s="529">
        <f t="shared" ref="AS21:AS22" si="50">AQ21*3</f>
        <v>0</v>
      </c>
      <c r="AT21" s="523">
        <f>SUM([1]บช.ทท.!$Z2:$Z36)</f>
        <v>0</v>
      </c>
      <c r="AU21" s="523">
        <f>SUM([1]บช.ทท.!$AA2:$AA36)</f>
        <v>0</v>
      </c>
      <c r="AV21" s="529">
        <f t="shared" ref="AV21:AV22" si="51">AT21*3</f>
        <v>0</v>
      </c>
      <c r="AW21" s="536">
        <f>SUM([1]บช.ตชด.!$Z2:$Z36)</f>
        <v>0</v>
      </c>
      <c r="AX21" s="536">
        <f>SUM([1]บช.ตชด.!$AA2:$AA36)</f>
        <v>0</v>
      </c>
      <c r="AY21" s="529">
        <f t="shared" ref="AY21:AY22" si="52">AW21*3</f>
        <v>0</v>
      </c>
      <c r="AZ21" s="525"/>
      <c r="BA21" s="525"/>
      <c r="BB21" s="525"/>
      <c r="BC21" s="525"/>
      <c r="BD21" s="525"/>
      <c r="BE21" s="525"/>
      <c r="BF21" s="525"/>
      <c r="BG21" s="525"/>
      <c r="BH21" s="525"/>
      <c r="BI21" s="525"/>
      <c r="BJ21" s="525"/>
      <c r="BK21" s="525"/>
      <c r="BL21" s="525"/>
      <c r="BM21" s="525"/>
      <c r="BN21" s="525"/>
      <c r="BO21" s="525"/>
      <c r="BP21" s="525"/>
      <c r="BQ21" s="525"/>
      <c r="BR21" s="525"/>
      <c r="BS21" s="525"/>
      <c r="BT21" s="525"/>
      <c r="BU21" s="525"/>
      <c r="BV21" s="525"/>
      <c r="BW21" s="525"/>
      <c r="BX21" s="525"/>
      <c r="BY21" s="525"/>
    </row>
    <row r="22" spans="1:77" s="511" customFormat="1" ht="28.5" thickBot="1">
      <c r="A22" s="563" t="s">
        <v>97</v>
      </c>
      <c r="B22" s="564">
        <f t="shared" si="36"/>
        <v>10</v>
      </c>
      <c r="C22" s="565">
        <f t="shared" si="36"/>
        <v>10</v>
      </c>
      <c r="D22" s="526">
        <f>SUM([1]บช.น.!$AB2:$AB36)</f>
        <v>0</v>
      </c>
      <c r="E22" s="527">
        <f>SUM([1]บช.น.!$AC2:$AC36)</f>
        <v>0</v>
      </c>
      <c r="F22" s="528">
        <f t="shared" si="37"/>
        <v>0</v>
      </c>
      <c r="G22" s="536">
        <f>SUM([1]ภ.1!$AB2:$AB36)</f>
        <v>2</v>
      </c>
      <c r="H22" s="536">
        <f>SUM([1]ภ.1!$AC2:$AC36)</f>
        <v>2</v>
      </c>
      <c r="I22" s="522">
        <f t="shared" si="38"/>
        <v>6</v>
      </c>
      <c r="J22" s="523">
        <f>SUM([1]ภ.2!$AB2:$AB36)</f>
        <v>1</v>
      </c>
      <c r="K22" s="523">
        <f>SUM([1]ภ.2!$AC2:$AC36)</f>
        <v>1</v>
      </c>
      <c r="L22" s="530">
        <f t="shared" si="39"/>
        <v>3</v>
      </c>
      <c r="M22" s="536">
        <f>SUM([1]ภ.3!$AB2:$AB36)</f>
        <v>0</v>
      </c>
      <c r="N22" s="536">
        <f>SUM([1]ภ.3!$AC2:$AC36)</f>
        <v>0</v>
      </c>
      <c r="O22" s="530">
        <f t="shared" si="40"/>
        <v>0</v>
      </c>
      <c r="P22" s="523">
        <f>SUM([1]ภ.4!$AB2:$AB36)</f>
        <v>0</v>
      </c>
      <c r="Q22" s="523">
        <f>SUM([1]ภ.4!$AC2:$AC36)</f>
        <v>0</v>
      </c>
      <c r="R22" s="530">
        <f t="shared" si="41"/>
        <v>0</v>
      </c>
      <c r="S22" s="536">
        <f>SUM([1]ภ.5!$AB2:$AB36)</f>
        <v>0</v>
      </c>
      <c r="T22" s="536">
        <f>SUM([1]ภ.5!$AC2:$AC36)</f>
        <v>0</v>
      </c>
      <c r="U22" s="530">
        <f t="shared" si="42"/>
        <v>0</v>
      </c>
      <c r="V22" s="523">
        <f>SUM([1]ภ.6!$AB2:$AB36)</f>
        <v>0</v>
      </c>
      <c r="W22" s="523">
        <f>SUM([1]ภ.6!$AC2:$AC36)</f>
        <v>0</v>
      </c>
      <c r="X22" s="530">
        <f t="shared" si="43"/>
        <v>0</v>
      </c>
      <c r="Y22" s="536">
        <f>SUM([1]ภ.7!$AB2:$AB36)</f>
        <v>1</v>
      </c>
      <c r="Z22" s="536">
        <f>SUM([1]ภ.7!$AC2:$AC36)</f>
        <v>1</v>
      </c>
      <c r="AA22" s="530">
        <f t="shared" si="44"/>
        <v>3</v>
      </c>
      <c r="AB22" s="523">
        <f>SUM([1]ภ.8!$AB2:$AB36)</f>
        <v>0</v>
      </c>
      <c r="AC22" s="523">
        <f>SUM([1]ภ.8!$AC2:$AC36)</f>
        <v>0</v>
      </c>
      <c r="AD22" s="530">
        <f t="shared" si="45"/>
        <v>0</v>
      </c>
      <c r="AE22" s="536">
        <f>SUM([1]ภ.9!$AB2:$AB36)</f>
        <v>0</v>
      </c>
      <c r="AF22" s="536">
        <f>SUM([1]ภ.9!$AC2:$AC36)</f>
        <v>0</v>
      </c>
      <c r="AG22" s="530">
        <f t="shared" si="46"/>
        <v>0</v>
      </c>
      <c r="AH22" s="523">
        <f>SUM([1]บช.ก.!$AB2:$AB36)</f>
        <v>0</v>
      </c>
      <c r="AI22" s="523">
        <f>SUM([1]บช.ก.!$AC2:$AC36)</f>
        <v>0</v>
      </c>
      <c r="AJ22" s="530">
        <f t="shared" si="47"/>
        <v>0</v>
      </c>
      <c r="AK22" s="536">
        <f>SUM([1]บช.สอท.!$AB2:$AB36)</f>
        <v>6</v>
      </c>
      <c r="AL22" s="536">
        <f>SUM([1]บช.สอท.!$AC2:$AC36)</f>
        <v>6</v>
      </c>
      <c r="AM22" s="530">
        <f t="shared" si="48"/>
        <v>18</v>
      </c>
      <c r="AN22" s="523">
        <f>SUM([1]บช.ปส.!$AB2:$AB36)</f>
        <v>0</v>
      </c>
      <c r="AO22" s="523">
        <f>SUM([1]บช.ปส.!$AC2:$AC36)</f>
        <v>0</v>
      </c>
      <c r="AP22" s="530">
        <f t="shared" si="49"/>
        <v>0</v>
      </c>
      <c r="AQ22" s="536">
        <f>SUM([1]สตม.!$AB2:$AB36)</f>
        <v>0</v>
      </c>
      <c r="AR22" s="536">
        <f>SUM([1]สตม.!$AC2:$AC36)</f>
        <v>0</v>
      </c>
      <c r="AS22" s="530">
        <f t="shared" si="50"/>
        <v>0</v>
      </c>
      <c r="AT22" s="523">
        <f>SUM([1]บช.ทท.!$AB2:$AB36)</f>
        <v>0</v>
      </c>
      <c r="AU22" s="523">
        <f>SUM([1]บช.ทท.!$AC2:$AC36)</f>
        <v>0</v>
      </c>
      <c r="AV22" s="530">
        <f t="shared" si="51"/>
        <v>0</v>
      </c>
      <c r="AW22" s="536">
        <f>SUM([1]บช.ตชด.!$AB2:$AB36)</f>
        <v>0</v>
      </c>
      <c r="AX22" s="536">
        <f>SUM([1]บช.ตชด.!$AC2:$AC36)</f>
        <v>0</v>
      </c>
      <c r="AY22" s="530">
        <f t="shared" si="52"/>
        <v>0</v>
      </c>
      <c r="AZ22" s="525"/>
      <c r="BA22" s="525"/>
      <c r="BB22" s="525"/>
      <c r="BC22" s="525"/>
      <c r="BD22" s="525"/>
      <c r="BE22" s="525"/>
      <c r="BF22" s="525"/>
      <c r="BG22" s="525"/>
      <c r="BH22" s="525"/>
      <c r="BI22" s="525"/>
      <c r="BJ22" s="525"/>
      <c r="BK22" s="525"/>
      <c r="BL22" s="525"/>
      <c r="BM22" s="525"/>
      <c r="BN22" s="525"/>
      <c r="BO22" s="525"/>
      <c r="BP22" s="525"/>
      <c r="BQ22" s="525"/>
      <c r="BR22" s="525"/>
      <c r="BS22" s="525"/>
      <c r="BT22" s="525"/>
      <c r="BU22" s="525"/>
      <c r="BV22" s="525"/>
      <c r="BW22" s="525"/>
      <c r="BX22" s="525"/>
      <c r="BY22" s="525"/>
    </row>
    <row r="23" spans="1:77" s="511" customFormat="1" ht="28.5" thickBot="1">
      <c r="A23" s="563" t="s">
        <v>98</v>
      </c>
      <c r="B23" s="564">
        <f t="shared" si="36"/>
        <v>10</v>
      </c>
      <c r="C23" s="565">
        <f t="shared" si="36"/>
        <v>11</v>
      </c>
      <c r="D23" s="526">
        <f>SUM([1]บช.น.!$AD2:$AD36)</f>
        <v>0</v>
      </c>
      <c r="E23" s="527">
        <f>SUM([1]บช.น.!$AE2:$AE36)</f>
        <v>0</v>
      </c>
      <c r="F23" s="528">
        <f t="shared" ref="F23:F24" si="53">D23*5</f>
        <v>0</v>
      </c>
      <c r="G23" s="536">
        <f>SUM([1]ภ.1!$AD2:$AD36)</f>
        <v>0</v>
      </c>
      <c r="H23" s="536">
        <f>SUM([1]ภ.1!$AE2:$AE36)</f>
        <v>0</v>
      </c>
      <c r="I23" s="522">
        <f t="shared" ref="I23:I24" si="54">G23*5</f>
        <v>0</v>
      </c>
      <c r="J23" s="523">
        <f>SUM([1]ภ.2!$AD2:$AD36)</f>
        <v>1</v>
      </c>
      <c r="K23" s="523">
        <f>SUM([1]ภ.2!$AE2:$AE36)</f>
        <v>1</v>
      </c>
      <c r="L23" s="529">
        <f t="shared" ref="L23:L24" si="55">J23*5</f>
        <v>5</v>
      </c>
      <c r="M23" s="536">
        <f>SUM([1]ภ.3!$AD2:$AD36)</f>
        <v>0</v>
      </c>
      <c r="N23" s="536">
        <f>SUM([1]ภ.3!$AE2:$AE36)</f>
        <v>0</v>
      </c>
      <c r="O23" s="529">
        <f t="shared" ref="O23:O24" si="56">M23*5</f>
        <v>0</v>
      </c>
      <c r="P23" s="523">
        <f>SUM([1]ภ.4!$AD2:$AD36)</f>
        <v>0</v>
      </c>
      <c r="Q23" s="523">
        <f>SUM([1]ภ.4!$AE2:$AE36)</f>
        <v>0</v>
      </c>
      <c r="R23" s="529">
        <f t="shared" ref="R23:R24" si="57">P23*5</f>
        <v>0</v>
      </c>
      <c r="S23" s="536">
        <f>SUM([1]ภ.5!$AD2:$AD36)</f>
        <v>0</v>
      </c>
      <c r="T23" s="536">
        <f>SUM([1]ภ.5!$AE2:$AE36)</f>
        <v>0</v>
      </c>
      <c r="U23" s="529">
        <f t="shared" ref="U23:U24" si="58">S23*5</f>
        <v>0</v>
      </c>
      <c r="V23" s="523">
        <f>SUM([1]ภ.6!$AD2:$AD36)</f>
        <v>1</v>
      </c>
      <c r="W23" s="523">
        <f>SUM([1]ภ.6!$AE2:$AE36)</f>
        <v>1</v>
      </c>
      <c r="X23" s="529">
        <f t="shared" ref="X23:X24" si="59">V23*5</f>
        <v>5</v>
      </c>
      <c r="Y23" s="536">
        <f>SUM([1]ภ.7!$AD2:$AD36)</f>
        <v>1</v>
      </c>
      <c r="Z23" s="536">
        <f>SUM([1]ภ.7!$AE2:$AE36)</f>
        <v>2</v>
      </c>
      <c r="AA23" s="529">
        <f t="shared" ref="AA23:AA24" si="60">Y23*5</f>
        <v>5</v>
      </c>
      <c r="AB23" s="523">
        <f>SUM([1]ภ.8!$AD2:$AD36)</f>
        <v>1</v>
      </c>
      <c r="AC23" s="523">
        <f>SUM([1]ภ.8!$AE2:$AE36)</f>
        <v>1</v>
      </c>
      <c r="AD23" s="529">
        <f t="shared" ref="AD23:AD24" si="61">AB23*5</f>
        <v>5</v>
      </c>
      <c r="AE23" s="536">
        <f>SUM([1]ภ.9!$AD2:$AD36)</f>
        <v>0</v>
      </c>
      <c r="AF23" s="536">
        <f>SUM([1]ภ.9!$AE2:$AE36)</f>
        <v>0</v>
      </c>
      <c r="AG23" s="529">
        <f t="shared" ref="AG23:AG24" si="62">AE23*5</f>
        <v>0</v>
      </c>
      <c r="AH23" s="523">
        <f>SUM([1]บช.ก.!$AD2:$AD36)</f>
        <v>6</v>
      </c>
      <c r="AI23" s="523">
        <f>SUM([1]บช.ก.!$AE2:$AE36)</f>
        <v>6</v>
      </c>
      <c r="AJ23" s="529">
        <f t="shared" ref="AJ23:AJ24" si="63">AH23*5</f>
        <v>30</v>
      </c>
      <c r="AK23" s="536">
        <f>SUM([1]บช.สอท.!$AD2:$AD36)</f>
        <v>0</v>
      </c>
      <c r="AL23" s="536">
        <f>SUM([1]บช.สอท.!$AE2:$AE36)</f>
        <v>0</v>
      </c>
      <c r="AM23" s="529">
        <f t="shared" ref="AM23:AM24" si="64">AK23*5</f>
        <v>0</v>
      </c>
      <c r="AN23" s="523">
        <f>SUM([1]บช.ปส.!$AD2:$AD36)</f>
        <v>0</v>
      </c>
      <c r="AO23" s="523">
        <f>SUM([1]บช.ปส.!$AE2:$AE36)</f>
        <v>0</v>
      </c>
      <c r="AP23" s="529">
        <f t="shared" ref="AP23:AP24" si="65">AN23*5</f>
        <v>0</v>
      </c>
      <c r="AQ23" s="536">
        <f>SUM([1]สตม.!$AD2:$AD36)</f>
        <v>0</v>
      </c>
      <c r="AR23" s="536">
        <f>SUM([1]สตม.!$AE2:$AE36)</f>
        <v>0</v>
      </c>
      <c r="AS23" s="529">
        <f t="shared" ref="AS23:AS24" si="66">AQ23*5</f>
        <v>0</v>
      </c>
      <c r="AT23" s="523">
        <f>SUM([1]บช.ทท.!$AD2:$AD36)</f>
        <v>0</v>
      </c>
      <c r="AU23" s="523">
        <f>SUM([1]บช.ทท.!$AE2:$AE36)</f>
        <v>0</v>
      </c>
      <c r="AV23" s="529">
        <f t="shared" ref="AV23:AV24" si="67">AT23*5</f>
        <v>0</v>
      </c>
      <c r="AW23" s="536">
        <f>SUM([1]บช.ตชด.!$AD2:$AD36)</f>
        <v>0</v>
      </c>
      <c r="AX23" s="536">
        <f>SUM([1]บช.ตชด.!$AE2:$AE36)</f>
        <v>0</v>
      </c>
      <c r="AY23" s="529">
        <f t="shared" ref="AY23:AY24" si="68">AW23*5</f>
        <v>0</v>
      </c>
      <c r="AZ23" s="525"/>
      <c r="BA23" s="525"/>
      <c r="BB23" s="525"/>
      <c r="BC23" s="525"/>
      <c r="BD23" s="525"/>
      <c r="BE23" s="525"/>
      <c r="BF23" s="525"/>
      <c r="BG23" s="525"/>
      <c r="BH23" s="525"/>
      <c r="BI23" s="525"/>
      <c r="BJ23" s="525"/>
      <c r="BK23" s="525"/>
      <c r="BL23" s="525"/>
      <c r="BM23" s="525"/>
      <c r="BN23" s="525"/>
      <c r="BO23" s="525"/>
      <c r="BP23" s="525"/>
      <c r="BQ23" s="525"/>
      <c r="BR23" s="525"/>
      <c r="BS23" s="525"/>
      <c r="BT23" s="525"/>
      <c r="BU23" s="525"/>
      <c r="BV23" s="525"/>
      <c r="BW23" s="525"/>
      <c r="BX23" s="525"/>
      <c r="BY23" s="525"/>
    </row>
    <row r="24" spans="1:77" s="511" customFormat="1" ht="28.5" thickBot="1">
      <c r="A24" s="563" t="s">
        <v>99</v>
      </c>
      <c r="B24" s="564">
        <f t="shared" si="36"/>
        <v>0</v>
      </c>
      <c r="C24" s="565">
        <f t="shared" si="36"/>
        <v>0</v>
      </c>
      <c r="D24" s="526">
        <f>SUM([1]บช.น.!$AF2:$AF36)</f>
        <v>0</v>
      </c>
      <c r="E24" s="527">
        <f>SUM([1]บช.น.!$AG2:$AG36)</f>
        <v>0</v>
      </c>
      <c r="F24" s="528">
        <f t="shared" si="53"/>
        <v>0</v>
      </c>
      <c r="G24" s="536">
        <f>SUM([1]ภ.1!$AF2:$AF36)</f>
        <v>0</v>
      </c>
      <c r="H24" s="536">
        <f>SUM([1]ภ.1!$AG2:$AG36)</f>
        <v>0</v>
      </c>
      <c r="I24" s="522">
        <f t="shared" si="54"/>
        <v>0</v>
      </c>
      <c r="J24" s="523">
        <f>SUM([1]ภ.2!$AF2:$AF36)</f>
        <v>0</v>
      </c>
      <c r="K24" s="523">
        <f>SUM([1]ภ.2!$AG2:$AG36)</f>
        <v>0</v>
      </c>
      <c r="L24" s="530">
        <f t="shared" si="55"/>
        <v>0</v>
      </c>
      <c r="M24" s="536">
        <f>SUM([1]ภ.3!$AF2:$AF36)</f>
        <v>0</v>
      </c>
      <c r="N24" s="536">
        <f>SUM([1]ภ.3!$AG2:$AG36)</f>
        <v>0</v>
      </c>
      <c r="O24" s="530">
        <f t="shared" si="56"/>
        <v>0</v>
      </c>
      <c r="P24" s="523">
        <f>SUM([1]ภ.4!$AF2:$AF36)</f>
        <v>0</v>
      </c>
      <c r="Q24" s="523">
        <f>SUM([1]ภ.4!$AG2:$AG36)</f>
        <v>0</v>
      </c>
      <c r="R24" s="530">
        <f t="shared" si="57"/>
        <v>0</v>
      </c>
      <c r="S24" s="536">
        <f>SUM([1]ภ.5!$AF2:$AF36)</f>
        <v>0</v>
      </c>
      <c r="T24" s="536">
        <f>SUM([1]ภ.5!$AG2:$AG36)</f>
        <v>0</v>
      </c>
      <c r="U24" s="530">
        <f t="shared" si="58"/>
        <v>0</v>
      </c>
      <c r="V24" s="523">
        <f>SUM([1]ภ.6!$AF2:$AF36)</f>
        <v>0</v>
      </c>
      <c r="W24" s="523">
        <f>SUM([1]ภ.6!$AG2:$AG36)</f>
        <v>0</v>
      </c>
      <c r="X24" s="530">
        <f t="shared" si="59"/>
        <v>0</v>
      </c>
      <c r="Y24" s="536">
        <f>SUM([1]ภ.7!$AF2:$AF36)</f>
        <v>0</v>
      </c>
      <c r="Z24" s="536">
        <f>SUM([1]ภ.7!$AG2:$AG36)</f>
        <v>0</v>
      </c>
      <c r="AA24" s="530">
        <f t="shared" si="60"/>
        <v>0</v>
      </c>
      <c r="AB24" s="523">
        <f>SUM([1]ภ.8!$AF2:$AF36)</f>
        <v>0</v>
      </c>
      <c r="AC24" s="523">
        <f>SUM([1]ภ.8!$AG2:$AG36)</f>
        <v>0</v>
      </c>
      <c r="AD24" s="530">
        <f t="shared" si="61"/>
        <v>0</v>
      </c>
      <c r="AE24" s="536">
        <f>SUM([1]ภ.9!$AF2:$AF36)</f>
        <v>0</v>
      </c>
      <c r="AF24" s="536">
        <f>SUM([1]ภ.9!$AG2:$AG36)</f>
        <v>0</v>
      </c>
      <c r="AG24" s="530">
        <f t="shared" si="62"/>
        <v>0</v>
      </c>
      <c r="AH24" s="523">
        <f>SUM([1]บช.ก.!$AF2:$AF36)</f>
        <v>0</v>
      </c>
      <c r="AI24" s="523">
        <f>SUM([1]บช.ก.!$AG2:$AG36)</f>
        <v>0</v>
      </c>
      <c r="AJ24" s="530">
        <f t="shared" si="63"/>
        <v>0</v>
      </c>
      <c r="AK24" s="536">
        <f>SUM([1]บช.สอท.!$AF2:$AF36)</f>
        <v>0</v>
      </c>
      <c r="AL24" s="536">
        <f>SUM([1]บช.สอท.!$AG2:$AG36)</f>
        <v>0</v>
      </c>
      <c r="AM24" s="530">
        <f t="shared" si="64"/>
        <v>0</v>
      </c>
      <c r="AN24" s="523">
        <f>SUM([1]บช.ปส.!$AF2:$AF36)</f>
        <v>0</v>
      </c>
      <c r="AO24" s="523">
        <f>SUM([1]บช.ปส.!$AG2:$AG36)</f>
        <v>0</v>
      </c>
      <c r="AP24" s="530">
        <f t="shared" si="65"/>
        <v>0</v>
      </c>
      <c r="AQ24" s="536">
        <f>SUM([1]สตม.!$AF2:$AF36)</f>
        <v>0</v>
      </c>
      <c r="AR24" s="536">
        <f>SUM([1]สตม.!$AG2:$AG36)</f>
        <v>0</v>
      </c>
      <c r="AS24" s="530">
        <f t="shared" si="66"/>
        <v>0</v>
      </c>
      <c r="AT24" s="523">
        <f>SUM([1]บช.ทท.!$AF2:$AF36)</f>
        <v>0</v>
      </c>
      <c r="AU24" s="523">
        <f>SUM([1]บช.ทท.!$AG2:$AG36)</f>
        <v>0</v>
      </c>
      <c r="AV24" s="530">
        <f t="shared" si="67"/>
        <v>0</v>
      </c>
      <c r="AW24" s="536">
        <f>SUM([1]บช.ตชด.!$AF2:$AF36)</f>
        <v>0</v>
      </c>
      <c r="AX24" s="536">
        <f>SUM([1]บช.ตชด.!$AG2:$AG36)</f>
        <v>0</v>
      </c>
      <c r="AY24" s="530">
        <f t="shared" si="68"/>
        <v>0</v>
      </c>
      <c r="AZ24" s="525"/>
      <c r="BA24" s="525"/>
      <c r="BB24" s="525"/>
      <c r="BC24" s="525"/>
      <c r="BD24" s="525"/>
      <c r="BE24" s="525"/>
      <c r="BF24" s="525"/>
      <c r="BG24" s="525"/>
      <c r="BH24" s="525"/>
      <c r="BI24" s="525"/>
      <c r="BJ24" s="525"/>
      <c r="BK24" s="525"/>
      <c r="BL24" s="525"/>
      <c r="BM24" s="525"/>
      <c r="BN24" s="525"/>
      <c r="BO24" s="525"/>
      <c r="BP24" s="525"/>
      <c r="BQ24" s="525"/>
      <c r="BR24" s="525"/>
      <c r="BS24" s="525"/>
      <c r="BT24" s="525"/>
      <c r="BU24" s="525"/>
      <c r="BV24" s="525"/>
      <c r="BW24" s="525"/>
      <c r="BX24" s="525"/>
      <c r="BY24" s="525"/>
    </row>
    <row r="25" spans="1:77" s="537" customFormat="1" ht="28.5" thickBot="1">
      <c r="A25" s="566" t="s">
        <v>32</v>
      </c>
      <c r="B25" s="558">
        <f t="shared" ref="B25:AY25" si="69">SUM(B21:B24)</f>
        <v>163</v>
      </c>
      <c r="C25" s="559">
        <f t="shared" si="69"/>
        <v>154</v>
      </c>
      <c r="D25" s="512">
        <f t="shared" si="69"/>
        <v>6</v>
      </c>
      <c r="E25" s="513">
        <f t="shared" si="69"/>
        <v>6</v>
      </c>
      <c r="F25" s="514">
        <f t="shared" si="69"/>
        <v>18</v>
      </c>
      <c r="G25" s="516">
        <f t="shared" si="69"/>
        <v>22</v>
      </c>
      <c r="H25" s="516">
        <f t="shared" si="69"/>
        <v>14</v>
      </c>
      <c r="I25" s="516">
        <f t="shared" si="69"/>
        <v>66</v>
      </c>
      <c r="J25" s="516">
        <f t="shared" si="69"/>
        <v>7</v>
      </c>
      <c r="K25" s="516">
        <f t="shared" si="69"/>
        <v>7</v>
      </c>
      <c r="L25" s="515">
        <f t="shared" si="69"/>
        <v>23</v>
      </c>
      <c r="M25" s="516">
        <f t="shared" si="69"/>
        <v>8</v>
      </c>
      <c r="N25" s="516">
        <f t="shared" si="69"/>
        <v>8</v>
      </c>
      <c r="O25" s="515">
        <f t="shared" si="69"/>
        <v>24</v>
      </c>
      <c r="P25" s="516">
        <f t="shared" si="69"/>
        <v>24</v>
      </c>
      <c r="Q25" s="516">
        <f t="shared" si="69"/>
        <v>24</v>
      </c>
      <c r="R25" s="515">
        <f t="shared" si="69"/>
        <v>72</v>
      </c>
      <c r="S25" s="516">
        <f t="shared" si="69"/>
        <v>16</v>
      </c>
      <c r="T25" s="516">
        <f t="shared" si="69"/>
        <v>16</v>
      </c>
      <c r="U25" s="515">
        <f t="shared" si="69"/>
        <v>48</v>
      </c>
      <c r="V25" s="516">
        <f t="shared" si="69"/>
        <v>6</v>
      </c>
      <c r="W25" s="516">
        <f t="shared" si="69"/>
        <v>6</v>
      </c>
      <c r="X25" s="515">
        <f t="shared" si="69"/>
        <v>20</v>
      </c>
      <c r="Y25" s="516">
        <f t="shared" si="69"/>
        <v>15</v>
      </c>
      <c r="Z25" s="516">
        <f t="shared" si="69"/>
        <v>15</v>
      </c>
      <c r="AA25" s="515">
        <f t="shared" si="69"/>
        <v>47</v>
      </c>
      <c r="AB25" s="516">
        <f t="shared" si="69"/>
        <v>12</v>
      </c>
      <c r="AC25" s="516">
        <f t="shared" si="69"/>
        <v>12</v>
      </c>
      <c r="AD25" s="515">
        <f t="shared" si="69"/>
        <v>38</v>
      </c>
      <c r="AE25" s="516">
        <f t="shared" si="69"/>
        <v>0</v>
      </c>
      <c r="AF25" s="516">
        <f t="shared" si="69"/>
        <v>0</v>
      </c>
      <c r="AG25" s="515">
        <f t="shared" si="69"/>
        <v>0</v>
      </c>
      <c r="AH25" s="516">
        <f t="shared" si="69"/>
        <v>14</v>
      </c>
      <c r="AI25" s="516">
        <f t="shared" si="69"/>
        <v>13</v>
      </c>
      <c r="AJ25" s="515">
        <f t="shared" si="69"/>
        <v>54</v>
      </c>
      <c r="AK25" s="516">
        <f t="shared" si="69"/>
        <v>33</v>
      </c>
      <c r="AL25" s="516">
        <f t="shared" si="69"/>
        <v>33</v>
      </c>
      <c r="AM25" s="515">
        <f t="shared" si="69"/>
        <v>99</v>
      </c>
      <c r="AN25" s="516">
        <f t="shared" si="69"/>
        <v>0</v>
      </c>
      <c r="AO25" s="516">
        <f t="shared" si="69"/>
        <v>0</v>
      </c>
      <c r="AP25" s="515">
        <f t="shared" si="69"/>
        <v>0</v>
      </c>
      <c r="AQ25" s="516">
        <f t="shared" si="69"/>
        <v>0</v>
      </c>
      <c r="AR25" s="516">
        <f t="shared" si="69"/>
        <v>0</v>
      </c>
      <c r="AS25" s="515">
        <f t="shared" si="69"/>
        <v>0</v>
      </c>
      <c r="AT25" s="516">
        <f t="shared" si="69"/>
        <v>0</v>
      </c>
      <c r="AU25" s="516">
        <f t="shared" si="69"/>
        <v>0</v>
      </c>
      <c r="AV25" s="515">
        <f t="shared" si="69"/>
        <v>0</v>
      </c>
      <c r="AW25" s="516">
        <f t="shared" si="69"/>
        <v>0</v>
      </c>
      <c r="AX25" s="516">
        <f t="shared" si="69"/>
        <v>0</v>
      </c>
      <c r="AY25" s="515">
        <f t="shared" si="69"/>
        <v>0</v>
      </c>
      <c r="AZ25" s="518"/>
      <c r="BA25" s="518"/>
      <c r="BB25" s="518"/>
      <c r="BC25" s="518"/>
      <c r="BD25" s="518"/>
      <c r="BE25" s="518"/>
      <c r="BF25" s="518"/>
      <c r="BG25" s="518"/>
      <c r="BH25" s="518"/>
      <c r="BI25" s="518"/>
      <c r="BJ25" s="518"/>
      <c r="BK25" s="518"/>
      <c r="BL25" s="518"/>
      <c r="BM25" s="518"/>
      <c r="BN25" s="518"/>
      <c r="BO25" s="518"/>
      <c r="BP25" s="518"/>
      <c r="BQ25" s="518"/>
      <c r="BR25" s="518"/>
      <c r="BS25" s="518"/>
      <c r="BT25" s="518"/>
      <c r="BU25" s="518"/>
      <c r="BV25" s="518"/>
      <c r="BW25" s="518"/>
      <c r="BX25" s="518"/>
      <c r="BY25" s="518"/>
    </row>
    <row r="26" spans="1:77" s="511" customFormat="1" ht="28.5" thickBot="1">
      <c r="A26" s="560" t="s">
        <v>100</v>
      </c>
      <c r="B26" s="561"/>
      <c r="C26" s="562"/>
      <c r="D26" s="532"/>
      <c r="E26" s="533"/>
      <c r="F26" s="534"/>
      <c r="G26" s="535"/>
      <c r="H26" s="535"/>
      <c r="I26" s="515"/>
      <c r="J26" s="516"/>
      <c r="K26" s="516"/>
      <c r="L26" s="524"/>
      <c r="M26" s="535"/>
      <c r="N26" s="535"/>
      <c r="O26" s="524"/>
      <c r="P26" s="516"/>
      <c r="Q26" s="516"/>
      <c r="R26" s="524"/>
      <c r="S26" s="535"/>
      <c r="T26" s="535"/>
      <c r="U26" s="524"/>
      <c r="V26" s="516"/>
      <c r="W26" s="516"/>
      <c r="X26" s="524"/>
      <c r="Y26" s="535"/>
      <c r="Z26" s="535"/>
      <c r="AA26" s="524"/>
      <c r="AB26" s="516"/>
      <c r="AC26" s="516"/>
      <c r="AD26" s="524"/>
      <c r="AE26" s="535"/>
      <c r="AF26" s="535"/>
      <c r="AG26" s="524"/>
      <c r="AH26" s="516"/>
      <c r="AI26" s="516"/>
      <c r="AJ26" s="524"/>
      <c r="AK26" s="535"/>
      <c r="AL26" s="535"/>
      <c r="AM26" s="524"/>
      <c r="AN26" s="516"/>
      <c r="AO26" s="516"/>
      <c r="AP26" s="524"/>
      <c r="AQ26" s="535"/>
      <c r="AR26" s="535"/>
      <c r="AS26" s="524"/>
      <c r="AT26" s="516"/>
      <c r="AU26" s="516"/>
      <c r="AV26" s="524"/>
      <c r="AW26" s="535"/>
      <c r="AX26" s="535"/>
      <c r="AY26" s="524"/>
      <c r="AZ26" s="518"/>
      <c r="BA26" s="518"/>
      <c r="BB26" s="518"/>
      <c r="BC26" s="518"/>
      <c r="BD26" s="518"/>
      <c r="BE26" s="518"/>
      <c r="BF26" s="518"/>
      <c r="BG26" s="518"/>
      <c r="BH26" s="518"/>
      <c r="BI26" s="518"/>
      <c r="BJ26" s="518"/>
      <c r="BK26" s="518"/>
      <c r="BL26" s="518"/>
      <c r="BM26" s="518"/>
      <c r="BN26" s="518"/>
      <c r="BO26" s="518"/>
      <c r="BP26" s="518"/>
      <c r="BQ26" s="518"/>
      <c r="BR26" s="518"/>
      <c r="BS26" s="518"/>
      <c r="BT26" s="518"/>
      <c r="BU26" s="518"/>
      <c r="BV26" s="518"/>
      <c r="BW26" s="518"/>
      <c r="BX26" s="518"/>
      <c r="BY26" s="518"/>
    </row>
    <row r="27" spans="1:77" s="511" customFormat="1" ht="28.5" thickBot="1">
      <c r="A27" s="563" t="s">
        <v>101</v>
      </c>
      <c r="B27" s="564">
        <f t="shared" ref="B27:C31" si="70">D27+G27+J27+M27+P27+S27+V27+Y27+AB27+AE27+AH27+AK27+AN27+AQ27+AT27+AW27</f>
        <v>4</v>
      </c>
      <c r="C27" s="565">
        <f t="shared" si="70"/>
        <v>4</v>
      </c>
      <c r="D27" s="526">
        <f>SUM([1]บช.น.!$AH2:$AH36)</f>
        <v>0</v>
      </c>
      <c r="E27" s="527">
        <f>SUM([1]บช.น.!$AI2:$AI36)</f>
        <v>0</v>
      </c>
      <c r="F27" s="528">
        <f>D27*2</f>
        <v>0</v>
      </c>
      <c r="G27" s="536">
        <f>SUM([1]ภ.1!$AH2:$AH36)</f>
        <v>0</v>
      </c>
      <c r="H27" s="536">
        <f>SUM([1]ภ.1!$AI2:$AI36)</f>
        <v>0</v>
      </c>
      <c r="I27" s="522">
        <f>G27*2</f>
        <v>0</v>
      </c>
      <c r="J27" s="523">
        <f>SUM([1]ภ.2!$AH2:$AH36)</f>
        <v>0</v>
      </c>
      <c r="K27" s="523">
        <f>SUM([1]ภ.2!$AI2:$AI36)</f>
        <v>0</v>
      </c>
      <c r="L27" s="529">
        <f>J27*2</f>
        <v>0</v>
      </c>
      <c r="M27" s="536">
        <f>SUM([1]ภ.3!$AH2:$AH36)</f>
        <v>0</v>
      </c>
      <c r="N27" s="536">
        <f>SUM([1]ภ.3!$AI2:$AI36)</f>
        <v>0</v>
      </c>
      <c r="O27" s="529">
        <f>M27*2</f>
        <v>0</v>
      </c>
      <c r="P27" s="523">
        <f>SUM([1]ภ.4!$AH2:$AH36)</f>
        <v>0</v>
      </c>
      <c r="Q27" s="523">
        <f>SUM([1]ภ.4!$AI2:$AI36)</f>
        <v>0</v>
      </c>
      <c r="R27" s="529">
        <f>P27*2</f>
        <v>0</v>
      </c>
      <c r="S27" s="536">
        <f>SUM([1]ภ.5!$AH2:$AH36)</f>
        <v>1</v>
      </c>
      <c r="T27" s="536">
        <f>SUM([1]ภ.5!$AI2:$AI36)</f>
        <v>1</v>
      </c>
      <c r="U27" s="529">
        <f>S27*2</f>
        <v>2</v>
      </c>
      <c r="V27" s="523">
        <f>SUM([1]ภ.6!$AH2:$AH36)</f>
        <v>0</v>
      </c>
      <c r="W27" s="523">
        <f>SUM([1]ภ.6!$AI2:$AI36)</f>
        <v>0</v>
      </c>
      <c r="X27" s="529">
        <f>V27*2</f>
        <v>0</v>
      </c>
      <c r="Y27" s="536">
        <f>SUM([1]ภ.7!$AH2:$AH36)</f>
        <v>0</v>
      </c>
      <c r="Z27" s="536">
        <f>SUM([1]ภ.7!$AI2:$AI36)</f>
        <v>0</v>
      </c>
      <c r="AA27" s="529">
        <f>Y27*2</f>
        <v>0</v>
      </c>
      <c r="AB27" s="523">
        <f>SUM([1]ภ.8!$AH2:$AH36)</f>
        <v>0</v>
      </c>
      <c r="AC27" s="523">
        <f>SUM([1]ภ.8!$AI2:$AI36)</f>
        <v>0</v>
      </c>
      <c r="AD27" s="529">
        <f>AB27*2</f>
        <v>0</v>
      </c>
      <c r="AE27" s="536">
        <f>SUM([1]ภ.9!$AH2:$AH36)</f>
        <v>0</v>
      </c>
      <c r="AF27" s="536">
        <f>SUM([1]ภ.9!$AI2:$AI36)</f>
        <v>0</v>
      </c>
      <c r="AG27" s="529">
        <f>AE27*2</f>
        <v>0</v>
      </c>
      <c r="AH27" s="523">
        <f>SUM([1]บช.ก.!$AH2:$AH36)</f>
        <v>0</v>
      </c>
      <c r="AI27" s="523">
        <f>SUM([1]บช.ก.!$AI2:$AI36)</f>
        <v>0</v>
      </c>
      <c r="AJ27" s="529">
        <f>AH27*2</f>
        <v>0</v>
      </c>
      <c r="AK27" s="536">
        <f>SUM([1]บช.สอท.!$AH2:$AH36)</f>
        <v>2</v>
      </c>
      <c r="AL27" s="536">
        <f>SUM([1]บช.สอท.!$AI2:$AI36)</f>
        <v>2</v>
      </c>
      <c r="AM27" s="529">
        <f>AK27*2</f>
        <v>4</v>
      </c>
      <c r="AN27" s="523">
        <f>SUM([1]บช.ปส.!$AH2:$AH36)</f>
        <v>0</v>
      </c>
      <c r="AO27" s="523">
        <f>SUM([1]บช.ปส.!$AI2:$AI36)</f>
        <v>0</v>
      </c>
      <c r="AP27" s="529">
        <f>AN27*2</f>
        <v>0</v>
      </c>
      <c r="AQ27" s="536">
        <f>SUM([1]สตม.!$AH2:$AH36)</f>
        <v>0</v>
      </c>
      <c r="AR27" s="536">
        <f>SUM([1]สตม.!$AI2:$AI36)</f>
        <v>0</v>
      </c>
      <c r="AS27" s="529">
        <f>AQ27*2</f>
        <v>0</v>
      </c>
      <c r="AT27" s="523">
        <f>SUM([1]บช.ทท.!$AH2:$AH36)</f>
        <v>1</v>
      </c>
      <c r="AU27" s="523">
        <f>SUM([1]บช.ทท.!$AI2:$AI36)</f>
        <v>1</v>
      </c>
      <c r="AV27" s="529">
        <f>AT27*2</f>
        <v>2</v>
      </c>
      <c r="AW27" s="536">
        <f>SUM([1]บช.ตชด.!$AH2:$AH36)</f>
        <v>0</v>
      </c>
      <c r="AX27" s="536">
        <f>SUM([1]บช.ตชด.!$AI2:$AI36)</f>
        <v>0</v>
      </c>
      <c r="AY27" s="529">
        <f>AW27*2</f>
        <v>0</v>
      </c>
      <c r="AZ27" s="525"/>
      <c r="BA27" s="525"/>
      <c r="BB27" s="525"/>
      <c r="BC27" s="525"/>
      <c r="BD27" s="525"/>
      <c r="BE27" s="525"/>
      <c r="BF27" s="525"/>
      <c r="BG27" s="525"/>
      <c r="BH27" s="525"/>
      <c r="BI27" s="525"/>
      <c r="BJ27" s="525"/>
      <c r="BK27" s="525"/>
      <c r="BL27" s="525"/>
      <c r="BM27" s="525"/>
      <c r="BN27" s="525"/>
      <c r="BO27" s="525"/>
      <c r="BP27" s="525"/>
      <c r="BQ27" s="525"/>
      <c r="BR27" s="525"/>
      <c r="BS27" s="525"/>
      <c r="BT27" s="525"/>
      <c r="BU27" s="525"/>
      <c r="BV27" s="525"/>
      <c r="BW27" s="525"/>
      <c r="BX27" s="525"/>
      <c r="BY27" s="525"/>
    </row>
    <row r="28" spans="1:77" s="511" customFormat="1" ht="28.5" thickBot="1">
      <c r="A28" s="563" t="s">
        <v>102</v>
      </c>
      <c r="B28" s="564">
        <f t="shared" si="70"/>
        <v>9</v>
      </c>
      <c r="C28" s="565">
        <f t="shared" si="70"/>
        <v>9</v>
      </c>
      <c r="D28" s="526">
        <f>SUM([1]บช.น.!$AJ2:$AJ36)</f>
        <v>0</v>
      </c>
      <c r="E28" s="527">
        <f>SUM([1]บช.น.!$AK2:$AK36)</f>
        <v>0</v>
      </c>
      <c r="F28" s="528">
        <f>D28*3</f>
        <v>0</v>
      </c>
      <c r="G28" s="536">
        <f>SUM([1]ภ.1!$AJ2:$AJ36)</f>
        <v>2</v>
      </c>
      <c r="H28" s="536">
        <f>SUM([1]ภ.1!$AK2:$AK36)</f>
        <v>2</v>
      </c>
      <c r="I28" s="522">
        <f>G28*3</f>
        <v>6</v>
      </c>
      <c r="J28" s="523">
        <f>SUM([1]ภ.2!$AJ2:$AJ36)</f>
        <v>0</v>
      </c>
      <c r="K28" s="523">
        <f>SUM([1]ภ.2!$AK2:$AK36)</f>
        <v>0</v>
      </c>
      <c r="L28" s="530">
        <f>J28*3</f>
        <v>0</v>
      </c>
      <c r="M28" s="536">
        <f>SUM([1]ภ.3!$AJ2:$AJ36)</f>
        <v>0</v>
      </c>
      <c r="N28" s="536">
        <f>SUM([1]ภ.3!$AK2:$AK36)</f>
        <v>0</v>
      </c>
      <c r="O28" s="530">
        <f>M28*3</f>
        <v>0</v>
      </c>
      <c r="P28" s="523">
        <f>SUM([1]ภ.4!$AJ2:$AJ36)</f>
        <v>0</v>
      </c>
      <c r="Q28" s="523">
        <f>SUM([1]ภ.4!$AK2:$AK36)</f>
        <v>0</v>
      </c>
      <c r="R28" s="530">
        <f>P28*3</f>
        <v>0</v>
      </c>
      <c r="S28" s="536">
        <f>SUM([1]ภ.5!$AJ2:$AJ36)</f>
        <v>0</v>
      </c>
      <c r="T28" s="536">
        <f>SUM([1]ภ.5!$AK2:$AK36)</f>
        <v>0</v>
      </c>
      <c r="U28" s="530">
        <f>S28*3</f>
        <v>0</v>
      </c>
      <c r="V28" s="523">
        <f>SUM([1]ภ.6!$AJ2:$AJ36)</f>
        <v>0</v>
      </c>
      <c r="W28" s="523">
        <f>SUM([1]ภ.6!$AK2:$AK36)</f>
        <v>0</v>
      </c>
      <c r="X28" s="530">
        <f>V28*3</f>
        <v>0</v>
      </c>
      <c r="Y28" s="536">
        <f>SUM([1]ภ.7!$AJ2:$AJ36)</f>
        <v>0</v>
      </c>
      <c r="Z28" s="536">
        <f>SUM([1]ภ.7!$AK2:$AK36)</f>
        <v>0</v>
      </c>
      <c r="AA28" s="530">
        <f>Y28*3</f>
        <v>0</v>
      </c>
      <c r="AB28" s="523">
        <f>SUM([1]ภ.8!$AJ2:$AJ36)</f>
        <v>1</v>
      </c>
      <c r="AC28" s="523">
        <f>SUM([1]ภ.8!$AK2:$AK36)</f>
        <v>1</v>
      </c>
      <c r="AD28" s="530">
        <f>AB28*3</f>
        <v>3</v>
      </c>
      <c r="AE28" s="536">
        <f>SUM([1]ภ.9!$AJ2:$AJ36)</f>
        <v>0</v>
      </c>
      <c r="AF28" s="536">
        <f>SUM([1]ภ.9!$AK2:$AK36)</f>
        <v>0</v>
      </c>
      <c r="AG28" s="530">
        <f>AE28*3</f>
        <v>0</v>
      </c>
      <c r="AH28" s="523">
        <f>SUM([1]บช.ก.!$AJ2:$AJ36)</f>
        <v>3</v>
      </c>
      <c r="AI28" s="523">
        <f>SUM([1]บช.ก.!$AK2:$AK36)</f>
        <v>3</v>
      </c>
      <c r="AJ28" s="530">
        <f>AH28*3</f>
        <v>9</v>
      </c>
      <c r="AK28" s="536">
        <f>SUM([1]บช.สอท.!$AJ2:$AJ36)</f>
        <v>3</v>
      </c>
      <c r="AL28" s="536">
        <f>SUM([1]บช.สอท.!$AK2:$AK36)</f>
        <v>3</v>
      </c>
      <c r="AM28" s="530">
        <f>AK28*3</f>
        <v>9</v>
      </c>
      <c r="AN28" s="523">
        <f>SUM([1]บช.ปส.!$AJ2:$AJ36)</f>
        <v>0</v>
      </c>
      <c r="AO28" s="523">
        <f>SUM([1]บช.ปส.!$AK2:$AK36)</f>
        <v>0</v>
      </c>
      <c r="AP28" s="530">
        <f>AN28*3</f>
        <v>0</v>
      </c>
      <c r="AQ28" s="536">
        <f>SUM([1]สตม.!$AJ2:$AJ36)</f>
        <v>0</v>
      </c>
      <c r="AR28" s="536">
        <f>SUM([1]สตม.!$AK2:$AK36)</f>
        <v>0</v>
      </c>
      <c r="AS28" s="530">
        <f>AQ28*3</f>
        <v>0</v>
      </c>
      <c r="AT28" s="523">
        <f>SUM([1]บช.ทท.!$AJ2:$AJ36)</f>
        <v>0</v>
      </c>
      <c r="AU28" s="523">
        <f>SUM([1]บช.ทท.!$AK2:$AK36)</f>
        <v>0</v>
      </c>
      <c r="AV28" s="530">
        <f>AT28*3</f>
        <v>0</v>
      </c>
      <c r="AW28" s="536">
        <f>SUM([1]บช.ตชด.!$AJ2:$AJ36)</f>
        <v>0</v>
      </c>
      <c r="AX28" s="536">
        <f>SUM([1]บช.ตชด.!$AK2:$AK36)</f>
        <v>0</v>
      </c>
      <c r="AY28" s="530">
        <f>AW28*3</f>
        <v>0</v>
      </c>
      <c r="AZ28" s="525"/>
      <c r="BA28" s="525"/>
      <c r="BB28" s="525"/>
      <c r="BC28" s="525"/>
      <c r="BD28" s="525"/>
      <c r="BE28" s="525"/>
      <c r="BF28" s="525"/>
      <c r="BG28" s="525"/>
      <c r="BH28" s="525"/>
      <c r="BI28" s="525"/>
      <c r="BJ28" s="525"/>
      <c r="BK28" s="525"/>
      <c r="BL28" s="525"/>
      <c r="BM28" s="525"/>
      <c r="BN28" s="525"/>
      <c r="BO28" s="525"/>
      <c r="BP28" s="525"/>
      <c r="BQ28" s="525"/>
      <c r="BR28" s="525"/>
      <c r="BS28" s="525"/>
      <c r="BT28" s="525"/>
      <c r="BU28" s="525"/>
      <c r="BV28" s="525"/>
      <c r="BW28" s="525"/>
      <c r="BX28" s="525"/>
      <c r="BY28" s="525"/>
    </row>
    <row r="29" spans="1:77" s="511" customFormat="1" ht="28.5" thickBot="1">
      <c r="A29" s="563" t="s">
        <v>103</v>
      </c>
      <c r="B29" s="564">
        <f t="shared" si="70"/>
        <v>14</v>
      </c>
      <c r="C29" s="565">
        <f t="shared" si="70"/>
        <v>14</v>
      </c>
      <c r="D29" s="526">
        <f>SUM([1]บช.น.!$AL2:$AL36)</f>
        <v>0</v>
      </c>
      <c r="E29" s="527">
        <f>SUM([1]บช.น.!$AM2:$AM36)</f>
        <v>0</v>
      </c>
      <c r="F29" s="528">
        <f>D29*2</f>
        <v>0</v>
      </c>
      <c r="G29" s="536">
        <f>SUM([1]ภ.1!$AL2:$AL36)</f>
        <v>4</v>
      </c>
      <c r="H29" s="536">
        <f>SUM([1]ภ.1!$AM2:$AM36)</f>
        <v>4</v>
      </c>
      <c r="I29" s="522">
        <f>G29*2</f>
        <v>8</v>
      </c>
      <c r="J29" s="523">
        <f>SUM([1]ภ.2!$AL2:$AL36)</f>
        <v>0</v>
      </c>
      <c r="K29" s="523">
        <f>SUM([1]ภ.2!$AM2:$AM36)</f>
        <v>0</v>
      </c>
      <c r="L29" s="529">
        <f>J29*2</f>
        <v>0</v>
      </c>
      <c r="M29" s="536">
        <f>SUM([1]ภ.3!$AL2:$AL36)</f>
        <v>0</v>
      </c>
      <c r="N29" s="536">
        <f>SUM([1]ภ.3!$AM2:$AM36)</f>
        <v>0</v>
      </c>
      <c r="O29" s="529">
        <f>M29*2</f>
        <v>0</v>
      </c>
      <c r="P29" s="523">
        <f>SUM([1]ภ.4!$AL2:$AL36)</f>
        <v>1</v>
      </c>
      <c r="Q29" s="523">
        <f>SUM([1]ภ.4!$AM2:$AM36)</f>
        <v>1</v>
      </c>
      <c r="R29" s="529">
        <f>P29*2</f>
        <v>2</v>
      </c>
      <c r="S29" s="536">
        <f>SUM([1]ภ.5!$AL2:$AL36)</f>
        <v>0</v>
      </c>
      <c r="T29" s="536">
        <f>SUM([1]ภ.5!$AM2:$AM36)</f>
        <v>0</v>
      </c>
      <c r="U29" s="529">
        <f>S29*2</f>
        <v>0</v>
      </c>
      <c r="V29" s="523">
        <f>SUM([1]ภ.6!$AL2:$AL36)</f>
        <v>0</v>
      </c>
      <c r="W29" s="523">
        <f>SUM([1]ภ.6!$AM2:$AM36)</f>
        <v>0</v>
      </c>
      <c r="X29" s="529">
        <f>V29*2</f>
        <v>0</v>
      </c>
      <c r="Y29" s="536">
        <f>SUM([1]ภ.7!$AL2:$AL36)</f>
        <v>0</v>
      </c>
      <c r="Z29" s="536">
        <f>SUM([1]ภ.7!$AM2:$AM36)</f>
        <v>0</v>
      </c>
      <c r="AA29" s="529">
        <f>Y29*2</f>
        <v>0</v>
      </c>
      <c r="AB29" s="523">
        <f>SUM([1]ภ.8!$AL2:$AL36)</f>
        <v>0</v>
      </c>
      <c r="AC29" s="523">
        <f>SUM([1]ภ.8!$AM2:$AM36)</f>
        <v>0</v>
      </c>
      <c r="AD29" s="529">
        <f>AB29*2</f>
        <v>0</v>
      </c>
      <c r="AE29" s="536">
        <f>SUM([1]ภ.9!$AL2:$AL36)</f>
        <v>0</v>
      </c>
      <c r="AF29" s="536">
        <f>SUM([1]ภ.9!$AM2:$AM36)</f>
        <v>0</v>
      </c>
      <c r="AG29" s="529">
        <f>AE29*2</f>
        <v>0</v>
      </c>
      <c r="AH29" s="523">
        <f>SUM([1]บช.ก.!$AL2:$AL36)</f>
        <v>1</v>
      </c>
      <c r="AI29" s="523">
        <f>SUM([1]บช.ก.!$AM2:$AM36)</f>
        <v>1</v>
      </c>
      <c r="AJ29" s="529">
        <f>AH29*2</f>
        <v>2</v>
      </c>
      <c r="AK29" s="536">
        <f>SUM([1]บช.สอท.!$AL2:$AL36)</f>
        <v>8</v>
      </c>
      <c r="AL29" s="536">
        <f>SUM([1]บช.สอท.!$AM2:$AM36)</f>
        <v>8</v>
      </c>
      <c r="AM29" s="529">
        <f>AK29*2</f>
        <v>16</v>
      </c>
      <c r="AN29" s="523">
        <f>SUM([1]บช.ปส.!$AL2:$AL36)</f>
        <v>0</v>
      </c>
      <c r="AO29" s="523">
        <f>SUM([1]บช.ปส.!$AM2:$AM36)</f>
        <v>0</v>
      </c>
      <c r="AP29" s="529">
        <f>AN29*2</f>
        <v>0</v>
      </c>
      <c r="AQ29" s="536">
        <f>SUM([1]สตม.!$AL2:$AL36)</f>
        <v>0</v>
      </c>
      <c r="AR29" s="536">
        <f>SUM([1]สตม.!$AM2:$AM36)</f>
        <v>0</v>
      </c>
      <c r="AS29" s="529">
        <f>AQ29*2</f>
        <v>0</v>
      </c>
      <c r="AT29" s="523">
        <f>SUM([1]บช.ทท.!$AL2:$AL36)</f>
        <v>0</v>
      </c>
      <c r="AU29" s="523">
        <f>SUM([1]บช.ทท.!$AM2:$AM36)</f>
        <v>0</v>
      </c>
      <c r="AV29" s="529">
        <f>AT29*2</f>
        <v>0</v>
      </c>
      <c r="AW29" s="536">
        <f>SUM([1]บช.ตชด.!$AL2:$AL36)</f>
        <v>0</v>
      </c>
      <c r="AX29" s="536">
        <f>SUM([1]บช.ตชด.!$AM2:$AM36)</f>
        <v>0</v>
      </c>
      <c r="AY29" s="529">
        <f>AW29*2</f>
        <v>0</v>
      </c>
      <c r="AZ29" s="525"/>
      <c r="BA29" s="525"/>
      <c r="BB29" s="525"/>
      <c r="BC29" s="525"/>
      <c r="BD29" s="525"/>
      <c r="BE29" s="525"/>
      <c r="BF29" s="525"/>
      <c r="BG29" s="525"/>
      <c r="BH29" s="525"/>
      <c r="BI29" s="525"/>
      <c r="BJ29" s="525"/>
      <c r="BK29" s="525"/>
      <c r="BL29" s="525"/>
      <c r="BM29" s="525"/>
      <c r="BN29" s="525"/>
      <c r="BO29" s="525"/>
      <c r="BP29" s="525"/>
      <c r="BQ29" s="525"/>
      <c r="BR29" s="525"/>
      <c r="BS29" s="525"/>
      <c r="BT29" s="525"/>
      <c r="BU29" s="525"/>
      <c r="BV29" s="525"/>
      <c r="BW29" s="525"/>
      <c r="BX29" s="525"/>
      <c r="BY29" s="525"/>
    </row>
    <row r="30" spans="1:77" s="511" customFormat="1" ht="28.5" thickBot="1">
      <c r="A30" s="563" t="s">
        <v>104</v>
      </c>
      <c r="B30" s="564">
        <f t="shared" si="70"/>
        <v>0</v>
      </c>
      <c r="C30" s="565">
        <f t="shared" si="70"/>
        <v>0</v>
      </c>
      <c r="D30" s="526">
        <f>SUM([1]บช.น.!$AN2:$AN36)</f>
        <v>0</v>
      </c>
      <c r="E30" s="527">
        <f>SUM([1]บช.น.!$AO2:$AO36)</f>
        <v>0</v>
      </c>
      <c r="F30" s="528">
        <f>D30*5</f>
        <v>0</v>
      </c>
      <c r="G30" s="536">
        <f>SUM([1]ภ.1!$AN2:$AN36)</f>
        <v>0</v>
      </c>
      <c r="H30" s="536">
        <f>SUM([1]ภ.1!$AO2:$AO36)</f>
        <v>0</v>
      </c>
      <c r="I30" s="522">
        <f>G30*5</f>
        <v>0</v>
      </c>
      <c r="J30" s="523">
        <f>SUM([1]ภ.2!$AN2:$AN36)</f>
        <v>0</v>
      </c>
      <c r="K30" s="523">
        <f>SUM([1]ภ.2!$AO2:$AO36)</f>
        <v>0</v>
      </c>
      <c r="L30" s="530">
        <f>J30*5</f>
        <v>0</v>
      </c>
      <c r="M30" s="536">
        <f>SUM([1]ภ.3!$AN2:$AN36)</f>
        <v>0</v>
      </c>
      <c r="N30" s="536">
        <f>SUM([1]ภ.3!$AO2:$AO36)</f>
        <v>0</v>
      </c>
      <c r="O30" s="530">
        <f>M30*5</f>
        <v>0</v>
      </c>
      <c r="P30" s="523">
        <f>SUM([1]ภ.4!$AN2:$AN36)</f>
        <v>0</v>
      </c>
      <c r="Q30" s="523">
        <f>SUM([1]ภ.4!$AO2:$AO36)</f>
        <v>0</v>
      </c>
      <c r="R30" s="530">
        <f>P30*5</f>
        <v>0</v>
      </c>
      <c r="S30" s="536">
        <f>SUM([1]ภ.5!$AN2:$AN36)</f>
        <v>0</v>
      </c>
      <c r="T30" s="536">
        <f>SUM([1]ภ.5!$AO2:$AO36)</f>
        <v>0</v>
      </c>
      <c r="U30" s="530">
        <f>S30*5</f>
        <v>0</v>
      </c>
      <c r="V30" s="523">
        <f>SUM([1]ภ.6!$AN2:$AN36)</f>
        <v>0</v>
      </c>
      <c r="W30" s="523">
        <f>SUM([1]ภ.6!$AO2:$AO36)</f>
        <v>0</v>
      </c>
      <c r="X30" s="530">
        <f>V30*5</f>
        <v>0</v>
      </c>
      <c r="Y30" s="536">
        <f>SUM([1]ภ.7!$AN2:$AN36)</f>
        <v>0</v>
      </c>
      <c r="Z30" s="536">
        <f>SUM([1]ภ.7!$AO2:$AO36)</f>
        <v>0</v>
      </c>
      <c r="AA30" s="530">
        <f>Y30*5</f>
        <v>0</v>
      </c>
      <c r="AB30" s="523">
        <f>SUM([1]ภ.8!$AN2:$AN36)</f>
        <v>0</v>
      </c>
      <c r="AC30" s="523">
        <f>SUM([1]ภ.8!$AO2:$AO36)</f>
        <v>0</v>
      </c>
      <c r="AD30" s="530">
        <f>AB30*5</f>
        <v>0</v>
      </c>
      <c r="AE30" s="536">
        <f>SUM([1]ภ.9!$AN2:$AN36)</f>
        <v>0</v>
      </c>
      <c r="AF30" s="536">
        <f>SUM([1]ภ.9!$AO2:$AO36)</f>
        <v>0</v>
      </c>
      <c r="AG30" s="530">
        <f>AE30*5</f>
        <v>0</v>
      </c>
      <c r="AH30" s="523">
        <f>SUM([1]บช.ก.!$AN2:$AN36)</f>
        <v>0</v>
      </c>
      <c r="AI30" s="523">
        <f>SUM([1]บช.ก.!$AO2:$AO36)</f>
        <v>0</v>
      </c>
      <c r="AJ30" s="530">
        <f>AH30*5</f>
        <v>0</v>
      </c>
      <c r="AK30" s="536">
        <f>SUM([1]บช.สอท.!$AN2:$AN36)</f>
        <v>0</v>
      </c>
      <c r="AL30" s="536">
        <f>SUM([1]บช.สอท.!$AO2:$AO36)</f>
        <v>0</v>
      </c>
      <c r="AM30" s="530">
        <f>AK30*5</f>
        <v>0</v>
      </c>
      <c r="AN30" s="523">
        <f>SUM([1]บช.ปส.!$AN2:$AN36)</f>
        <v>0</v>
      </c>
      <c r="AO30" s="523">
        <f>SUM([1]บช.ปส.!$AO2:$AO36)</f>
        <v>0</v>
      </c>
      <c r="AP30" s="530">
        <f>AN30*5</f>
        <v>0</v>
      </c>
      <c r="AQ30" s="536">
        <f>SUM([1]สตม.!$AN2:$AN36)</f>
        <v>0</v>
      </c>
      <c r="AR30" s="536">
        <f>SUM([1]สตม.!$AO2:$AO36)</f>
        <v>0</v>
      </c>
      <c r="AS30" s="530">
        <f>AQ30*5</f>
        <v>0</v>
      </c>
      <c r="AT30" s="523">
        <f>SUM([1]บช.ทท.!$AN2:$AN36)</f>
        <v>0</v>
      </c>
      <c r="AU30" s="523">
        <f>SUM([1]บช.ทท.!$AO2:$AO36)</f>
        <v>0</v>
      </c>
      <c r="AV30" s="530">
        <f>AT30*5</f>
        <v>0</v>
      </c>
      <c r="AW30" s="536">
        <f>SUM([1]บช.ตชด.!$AN2:$AN36)</f>
        <v>0</v>
      </c>
      <c r="AX30" s="536">
        <f>SUM([1]บช.ตชด.!$AO2:$AO36)</f>
        <v>0</v>
      </c>
      <c r="AY30" s="530">
        <f>AW30*5</f>
        <v>0</v>
      </c>
      <c r="AZ30" s="525"/>
      <c r="BA30" s="525"/>
      <c r="BB30" s="525"/>
      <c r="BC30" s="525"/>
      <c r="BD30" s="525"/>
      <c r="BE30" s="525"/>
      <c r="BF30" s="525"/>
      <c r="BG30" s="525"/>
      <c r="BH30" s="525"/>
      <c r="BI30" s="525"/>
      <c r="BJ30" s="525"/>
      <c r="BK30" s="525"/>
      <c r="BL30" s="525"/>
      <c r="BM30" s="525"/>
      <c r="BN30" s="525"/>
      <c r="BO30" s="525"/>
      <c r="BP30" s="525"/>
      <c r="BQ30" s="525"/>
      <c r="BR30" s="525"/>
      <c r="BS30" s="525"/>
      <c r="BT30" s="525"/>
      <c r="BU30" s="525"/>
      <c r="BV30" s="525"/>
      <c r="BW30" s="525"/>
      <c r="BX30" s="525"/>
      <c r="BY30" s="525"/>
    </row>
    <row r="31" spans="1:77" s="511" customFormat="1" ht="28.5" thickBot="1">
      <c r="A31" s="563" t="s">
        <v>105</v>
      </c>
      <c r="B31" s="564">
        <f t="shared" si="70"/>
        <v>1</v>
      </c>
      <c r="C31" s="565">
        <f t="shared" si="70"/>
        <v>0</v>
      </c>
      <c r="D31" s="526">
        <f>SUM([1]บช.น.!$AP2:$AP36)</f>
        <v>0</v>
      </c>
      <c r="E31" s="527">
        <f>SUM([1]บช.น.!$AQ2:$AQ36)</f>
        <v>0</v>
      </c>
      <c r="F31" s="528">
        <f>D31*2</f>
        <v>0</v>
      </c>
      <c r="G31" s="536">
        <f>SUM([1]ภ.1!$AP2:$AP36)</f>
        <v>0</v>
      </c>
      <c r="H31" s="536">
        <f>SUM([1]ภ.1!$AQ2:$AQ36)</f>
        <v>0</v>
      </c>
      <c r="I31" s="523">
        <f>G31*2</f>
        <v>0</v>
      </c>
      <c r="J31" s="523">
        <f>SUM([1]ภ.2!$AP2:$AP36)</f>
        <v>0</v>
      </c>
      <c r="K31" s="523">
        <f>SUM([1]ภ.2!$AQ2:$AQ36)</f>
        <v>0</v>
      </c>
      <c r="L31" s="529">
        <f>J31*2</f>
        <v>0</v>
      </c>
      <c r="M31" s="536">
        <f>SUM([1]ภ.3!$AP2:$AP36)</f>
        <v>0</v>
      </c>
      <c r="N31" s="536">
        <f>SUM([1]ภ.3!$AQ2:$AQ36)</f>
        <v>0</v>
      </c>
      <c r="O31" s="529">
        <f>M31*2</f>
        <v>0</v>
      </c>
      <c r="P31" s="523">
        <f>SUM([1]ภ.4!$AP2:$AP36)</f>
        <v>1</v>
      </c>
      <c r="Q31" s="523">
        <f>SUM([1]ภ.4!$AQ2:$AQ36)</f>
        <v>0</v>
      </c>
      <c r="R31" s="529">
        <f>P31*2</f>
        <v>2</v>
      </c>
      <c r="S31" s="536">
        <f>SUM([1]ภ.5!$AP2:$AP36)</f>
        <v>0</v>
      </c>
      <c r="T31" s="536">
        <f>SUM([1]ภ.5!$AQ2:$AQ36)</f>
        <v>0</v>
      </c>
      <c r="U31" s="529">
        <f>S31*2</f>
        <v>0</v>
      </c>
      <c r="V31" s="523">
        <f>SUM([1]ภ.6!$AP2:$AP36)</f>
        <v>0</v>
      </c>
      <c r="W31" s="523">
        <f>SUM([1]ภ.6!$AQ2:$AQ36)</f>
        <v>0</v>
      </c>
      <c r="X31" s="529">
        <f>V31*2</f>
        <v>0</v>
      </c>
      <c r="Y31" s="536">
        <f>SUM([1]ภ.7!$AP2:$AP36)</f>
        <v>0</v>
      </c>
      <c r="Z31" s="536">
        <f>SUM([1]ภ.7!$AQ2:$AQ36)</f>
        <v>0</v>
      </c>
      <c r="AA31" s="529">
        <f>Y31*2</f>
        <v>0</v>
      </c>
      <c r="AB31" s="523">
        <f>SUM([1]ภ.8!$AP2:$AP36)</f>
        <v>0</v>
      </c>
      <c r="AC31" s="523">
        <f>SUM([1]ภ.8!$AQ2:$AQ36)</f>
        <v>0</v>
      </c>
      <c r="AD31" s="529">
        <f>AB31*2</f>
        <v>0</v>
      </c>
      <c r="AE31" s="536">
        <f>SUM([1]ภ.9!$AP2:$AP36)</f>
        <v>0</v>
      </c>
      <c r="AF31" s="536">
        <f>SUM([1]ภ.9!$AQ2:$AQ36)</f>
        <v>0</v>
      </c>
      <c r="AG31" s="529">
        <f>AE31*2</f>
        <v>0</v>
      </c>
      <c r="AH31" s="523">
        <f>SUM([1]บช.ก.!$AP2:$AP36)</f>
        <v>0</v>
      </c>
      <c r="AI31" s="523">
        <f>SUM([1]บช.ก.!$AQ2:$AQ36)</f>
        <v>0</v>
      </c>
      <c r="AJ31" s="529">
        <f>AH31*2</f>
        <v>0</v>
      </c>
      <c r="AK31" s="536">
        <f>SUM([1]บช.สอท.!$AP2:$AP36)</f>
        <v>0</v>
      </c>
      <c r="AL31" s="536">
        <f>SUM([1]บช.สอท.!$AQ2:$AQ36)</f>
        <v>0</v>
      </c>
      <c r="AM31" s="529">
        <f>AK31*2</f>
        <v>0</v>
      </c>
      <c r="AN31" s="523">
        <f>SUM([1]บช.ปส.!$AP2:$AP36)</f>
        <v>0</v>
      </c>
      <c r="AO31" s="523">
        <f>SUM([1]บช.ปส.!$AQ2:$AQ36)</f>
        <v>0</v>
      </c>
      <c r="AP31" s="529">
        <f>AN31*2</f>
        <v>0</v>
      </c>
      <c r="AQ31" s="536">
        <f>SUM([1]สตม.!$AP2:$AP36)</f>
        <v>0</v>
      </c>
      <c r="AR31" s="536">
        <f>SUM([1]สตม.!$AQ2:$AQ36)</f>
        <v>0</v>
      </c>
      <c r="AS31" s="529">
        <f>AQ31*2</f>
        <v>0</v>
      </c>
      <c r="AT31" s="523">
        <f>SUM([1]บช.ทท.!$AP2:$AP36)</f>
        <v>0</v>
      </c>
      <c r="AU31" s="523">
        <f>SUM([1]บช.ทท.!$AQ2:$AQ36)</f>
        <v>0</v>
      </c>
      <c r="AV31" s="529">
        <f>AT31*2</f>
        <v>0</v>
      </c>
      <c r="AW31" s="536">
        <f>SUM([1]บช.ตชด.!$AP2:$AP36)</f>
        <v>0</v>
      </c>
      <c r="AX31" s="536">
        <f>SUM([1]บช.ตชด.!$AQ2:$AQ36)</f>
        <v>0</v>
      </c>
      <c r="AY31" s="529">
        <f>AW31*2</f>
        <v>0</v>
      </c>
      <c r="AZ31" s="525"/>
      <c r="BA31" s="525"/>
      <c r="BB31" s="525"/>
      <c r="BC31" s="525"/>
      <c r="BD31" s="525"/>
      <c r="BE31" s="525"/>
      <c r="BF31" s="525"/>
      <c r="BG31" s="525"/>
      <c r="BH31" s="525"/>
      <c r="BI31" s="525"/>
      <c r="BJ31" s="525"/>
      <c r="BK31" s="525"/>
      <c r="BL31" s="525"/>
      <c r="BM31" s="525"/>
      <c r="BN31" s="525"/>
      <c r="BO31" s="525"/>
      <c r="BP31" s="525"/>
      <c r="BQ31" s="525"/>
      <c r="BR31" s="525"/>
      <c r="BS31" s="525"/>
      <c r="BT31" s="525"/>
      <c r="BU31" s="525"/>
      <c r="BV31" s="525"/>
      <c r="BW31" s="525"/>
      <c r="BX31" s="525"/>
      <c r="BY31" s="525"/>
    </row>
    <row r="32" spans="1:77" s="525" customFormat="1" ht="28.5" thickBot="1">
      <c r="A32" s="566" t="s">
        <v>32</v>
      </c>
      <c r="B32" s="558">
        <f t="shared" ref="B32:AY32" si="71">SUM(B27:B31)</f>
        <v>28</v>
      </c>
      <c r="C32" s="559">
        <f t="shared" si="71"/>
        <v>27</v>
      </c>
      <c r="D32" s="512">
        <f t="shared" si="71"/>
        <v>0</v>
      </c>
      <c r="E32" s="513">
        <f t="shared" si="71"/>
        <v>0</v>
      </c>
      <c r="F32" s="514">
        <f t="shared" si="71"/>
        <v>0</v>
      </c>
      <c r="G32" s="516">
        <f t="shared" si="71"/>
        <v>6</v>
      </c>
      <c r="H32" s="516">
        <f t="shared" si="71"/>
        <v>6</v>
      </c>
      <c r="I32" s="516">
        <f t="shared" si="71"/>
        <v>14</v>
      </c>
      <c r="J32" s="516">
        <f t="shared" si="71"/>
        <v>0</v>
      </c>
      <c r="K32" s="516">
        <f t="shared" si="71"/>
        <v>0</v>
      </c>
      <c r="L32" s="523">
        <f t="shared" si="71"/>
        <v>0</v>
      </c>
      <c r="M32" s="516">
        <f t="shared" si="71"/>
        <v>0</v>
      </c>
      <c r="N32" s="516">
        <f t="shared" si="71"/>
        <v>0</v>
      </c>
      <c r="O32" s="523">
        <f t="shared" si="71"/>
        <v>0</v>
      </c>
      <c r="P32" s="516">
        <f t="shared" si="71"/>
        <v>2</v>
      </c>
      <c r="Q32" s="516">
        <f t="shared" si="71"/>
        <v>1</v>
      </c>
      <c r="R32" s="523">
        <f t="shared" si="71"/>
        <v>4</v>
      </c>
      <c r="S32" s="516">
        <f t="shared" si="71"/>
        <v>1</v>
      </c>
      <c r="T32" s="516">
        <f t="shared" si="71"/>
        <v>1</v>
      </c>
      <c r="U32" s="523">
        <f t="shared" si="71"/>
        <v>2</v>
      </c>
      <c r="V32" s="516">
        <f t="shared" si="71"/>
        <v>0</v>
      </c>
      <c r="W32" s="516">
        <f t="shared" si="71"/>
        <v>0</v>
      </c>
      <c r="X32" s="523">
        <f t="shared" si="71"/>
        <v>0</v>
      </c>
      <c r="Y32" s="516">
        <f t="shared" si="71"/>
        <v>0</v>
      </c>
      <c r="Z32" s="516">
        <f t="shared" si="71"/>
        <v>0</v>
      </c>
      <c r="AA32" s="523">
        <f t="shared" si="71"/>
        <v>0</v>
      </c>
      <c r="AB32" s="516">
        <f t="shared" si="71"/>
        <v>1</v>
      </c>
      <c r="AC32" s="516">
        <f t="shared" si="71"/>
        <v>1</v>
      </c>
      <c r="AD32" s="523">
        <f t="shared" si="71"/>
        <v>3</v>
      </c>
      <c r="AE32" s="516">
        <f t="shared" si="71"/>
        <v>0</v>
      </c>
      <c r="AF32" s="516">
        <f t="shared" si="71"/>
        <v>0</v>
      </c>
      <c r="AG32" s="523">
        <f t="shared" si="71"/>
        <v>0</v>
      </c>
      <c r="AH32" s="516">
        <f t="shared" si="71"/>
        <v>4</v>
      </c>
      <c r="AI32" s="516">
        <f t="shared" si="71"/>
        <v>4</v>
      </c>
      <c r="AJ32" s="523">
        <f t="shared" si="71"/>
        <v>11</v>
      </c>
      <c r="AK32" s="516">
        <f t="shared" si="71"/>
        <v>13</v>
      </c>
      <c r="AL32" s="516">
        <f t="shared" si="71"/>
        <v>13</v>
      </c>
      <c r="AM32" s="523">
        <f t="shared" si="71"/>
        <v>29</v>
      </c>
      <c r="AN32" s="516">
        <f t="shared" si="71"/>
        <v>0</v>
      </c>
      <c r="AO32" s="516">
        <f t="shared" si="71"/>
        <v>0</v>
      </c>
      <c r="AP32" s="523">
        <f t="shared" si="71"/>
        <v>0</v>
      </c>
      <c r="AQ32" s="516">
        <f t="shared" si="71"/>
        <v>0</v>
      </c>
      <c r="AR32" s="516">
        <f t="shared" si="71"/>
        <v>0</v>
      </c>
      <c r="AS32" s="523">
        <f t="shared" si="71"/>
        <v>0</v>
      </c>
      <c r="AT32" s="516">
        <f t="shared" si="71"/>
        <v>1</v>
      </c>
      <c r="AU32" s="516">
        <f t="shared" si="71"/>
        <v>1</v>
      </c>
      <c r="AV32" s="523">
        <f t="shared" si="71"/>
        <v>2</v>
      </c>
      <c r="AW32" s="516">
        <f t="shared" si="71"/>
        <v>0</v>
      </c>
      <c r="AX32" s="516">
        <f t="shared" si="71"/>
        <v>0</v>
      </c>
      <c r="AY32" s="523">
        <f t="shared" si="71"/>
        <v>0</v>
      </c>
      <c r="AZ32" s="518"/>
      <c r="BA32" s="518"/>
      <c r="BB32" s="518"/>
      <c r="BC32" s="518"/>
      <c r="BD32" s="518"/>
      <c r="BE32" s="518"/>
      <c r="BF32" s="518"/>
      <c r="BG32" s="518"/>
      <c r="BH32" s="518"/>
      <c r="BI32" s="518"/>
      <c r="BJ32" s="518"/>
      <c r="BK32" s="518"/>
      <c r="BL32" s="518"/>
      <c r="BM32" s="518"/>
      <c r="BN32" s="518"/>
      <c r="BO32" s="518"/>
      <c r="BP32" s="518"/>
      <c r="BQ32" s="518"/>
      <c r="BR32" s="518"/>
      <c r="BS32" s="518"/>
      <c r="BT32" s="518"/>
      <c r="BU32" s="518"/>
      <c r="BV32" s="518"/>
      <c r="BW32" s="518"/>
      <c r="BX32" s="518"/>
      <c r="BY32" s="518"/>
    </row>
    <row r="33" spans="1:77" s="511" customFormat="1" ht="28.5" thickBot="1">
      <c r="A33" s="567" t="s">
        <v>70</v>
      </c>
      <c r="B33" s="568"/>
      <c r="C33" s="569"/>
      <c r="D33" s="532"/>
      <c r="E33" s="533"/>
      <c r="F33" s="534"/>
      <c r="G33" s="535"/>
      <c r="H33" s="535"/>
      <c r="I33" s="515"/>
      <c r="J33" s="516"/>
      <c r="K33" s="516"/>
      <c r="L33" s="517"/>
      <c r="M33" s="535"/>
      <c r="N33" s="535"/>
      <c r="O33" s="517"/>
      <c r="P33" s="516"/>
      <c r="Q33" s="516"/>
      <c r="R33" s="517"/>
      <c r="S33" s="535"/>
      <c r="T33" s="535"/>
      <c r="U33" s="517"/>
      <c r="V33" s="516"/>
      <c r="W33" s="516"/>
      <c r="X33" s="517"/>
      <c r="Y33" s="535"/>
      <c r="Z33" s="535"/>
      <c r="AA33" s="517"/>
      <c r="AB33" s="516"/>
      <c r="AC33" s="516"/>
      <c r="AD33" s="517"/>
      <c r="AE33" s="535"/>
      <c r="AF33" s="535"/>
      <c r="AG33" s="517"/>
      <c r="AH33" s="516"/>
      <c r="AI33" s="516"/>
      <c r="AJ33" s="517"/>
      <c r="AK33" s="535"/>
      <c r="AL33" s="535"/>
      <c r="AM33" s="517"/>
      <c r="AN33" s="516"/>
      <c r="AO33" s="516"/>
      <c r="AP33" s="517"/>
      <c r="AQ33" s="535"/>
      <c r="AR33" s="535"/>
      <c r="AS33" s="517"/>
      <c r="AT33" s="516"/>
      <c r="AU33" s="516"/>
      <c r="AV33" s="517"/>
      <c r="AW33" s="535"/>
      <c r="AX33" s="535"/>
      <c r="AY33" s="517"/>
      <c r="AZ33" s="518"/>
      <c r="BA33" s="518"/>
      <c r="BB33" s="518"/>
      <c r="BC33" s="518"/>
      <c r="BD33" s="518"/>
      <c r="BE33" s="518"/>
      <c r="BF33" s="518"/>
      <c r="BG33" s="518"/>
      <c r="BH33" s="518"/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8"/>
      <c r="BT33" s="518"/>
      <c r="BU33" s="518"/>
      <c r="BV33" s="518"/>
      <c r="BW33" s="518"/>
      <c r="BX33" s="518"/>
      <c r="BY33" s="518"/>
    </row>
    <row r="34" spans="1:77" s="511" customFormat="1" ht="28.5" thickBot="1">
      <c r="A34" s="563" t="s">
        <v>106</v>
      </c>
      <c r="B34" s="564">
        <f t="shared" ref="B34:C36" si="72">D34+G34+J34+M34+P34+S34+V34+Y34+AB34+AE34+AH34+AK34+AN34+AQ34+AT34+AW34</f>
        <v>86</v>
      </c>
      <c r="C34" s="565">
        <f t="shared" si="72"/>
        <v>112</v>
      </c>
      <c r="D34" s="526">
        <f>SUM([1]บช.น.!$AR2:$AR36)</f>
        <v>1</v>
      </c>
      <c r="E34" s="527">
        <f>SUM([1]บช.น.!$AS2:$AS36)</f>
        <v>1</v>
      </c>
      <c r="F34" s="528">
        <f>D34*2</f>
        <v>2</v>
      </c>
      <c r="G34" s="536">
        <f>SUM([1]ภ.1!$AR2:$AR36)</f>
        <v>11</v>
      </c>
      <c r="H34" s="536">
        <f>SUM([1]ภ.1!$AS2:$AS36)</f>
        <v>18</v>
      </c>
      <c r="I34" s="522">
        <f>G34*2</f>
        <v>22</v>
      </c>
      <c r="J34" s="523">
        <f>SUM([1]ภ.2!$AR2:$AR36)</f>
        <v>3</v>
      </c>
      <c r="K34" s="523">
        <f>SUM([1]ภ.2!$AS2:$AS36)</f>
        <v>7</v>
      </c>
      <c r="L34" s="530">
        <f>J34*2</f>
        <v>6</v>
      </c>
      <c r="M34" s="536">
        <f>SUM([1]ภ.3!$AR2:$AR36)</f>
        <v>15</v>
      </c>
      <c r="N34" s="536">
        <f>SUM([1]ภ.3!$AS2:$AS36)</f>
        <v>15</v>
      </c>
      <c r="O34" s="530">
        <f>M34*2</f>
        <v>30</v>
      </c>
      <c r="P34" s="523">
        <f>SUM([1]ภ.4!$AR2:$AR36)</f>
        <v>6</v>
      </c>
      <c r="Q34" s="523">
        <f>SUM([1]ภ.4!$AS2:$AS36)</f>
        <v>6</v>
      </c>
      <c r="R34" s="530">
        <f>P34*2</f>
        <v>12</v>
      </c>
      <c r="S34" s="536">
        <f>SUM([1]ภ.5!$AR2:$AR36)</f>
        <v>2</v>
      </c>
      <c r="T34" s="536">
        <f>SUM([1]ภ.5!$AS2:$AS36)</f>
        <v>3</v>
      </c>
      <c r="U34" s="530">
        <f>S34*2</f>
        <v>4</v>
      </c>
      <c r="V34" s="523">
        <f>SUM([1]ภ.6!$AR2:$AR36)</f>
        <v>1</v>
      </c>
      <c r="W34" s="523">
        <f>SUM([1]ภ.6!$AS2:$AS36)</f>
        <v>1</v>
      </c>
      <c r="X34" s="530">
        <f>V34*2</f>
        <v>2</v>
      </c>
      <c r="Y34" s="536">
        <f>SUM([1]ภ.7!$AR2:$AR36)</f>
        <v>7</v>
      </c>
      <c r="Z34" s="536">
        <f>SUM([1]ภ.7!$AS2:$AS36)</f>
        <v>7</v>
      </c>
      <c r="AA34" s="530">
        <f>Y34*2</f>
        <v>14</v>
      </c>
      <c r="AB34" s="523">
        <f>SUM([1]ภ.8!$AR2:$AR36)</f>
        <v>5</v>
      </c>
      <c r="AC34" s="523">
        <f>SUM([1]ภ.8!$AS2:$AS36)</f>
        <v>5</v>
      </c>
      <c r="AD34" s="530">
        <f>AB34*2</f>
        <v>10</v>
      </c>
      <c r="AE34" s="536">
        <f>SUM([1]ภ.9!$AR2:$AR36)</f>
        <v>2</v>
      </c>
      <c r="AF34" s="536">
        <f>SUM([1]ภ.9!$AS2:$AS36)</f>
        <v>4</v>
      </c>
      <c r="AG34" s="530">
        <f>AE34*2</f>
        <v>4</v>
      </c>
      <c r="AH34" s="523">
        <f>SUM([1]บช.ก.!$AR2:$AR36)</f>
        <v>0</v>
      </c>
      <c r="AI34" s="523">
        <f>SUM([1]บช.ก.!$AS2:$AS36)</f>
        <v>0</v>
      </c>
      <c r="AJ34" s="530">
        <f>AH34*2</f>
        <v>0</v>
      </c>
      <c r="AK34" s="536">
        <f>SUM([1]บช.สอท.!$AR2:$AR36)</f>
        <v>26</v>
      </c>
      <c r="AL34" s="536">
        <f>SUM([1]บช.สอท.!$AS2:$AS36)</f>
        <v>36</v>
      </c>
      <c r="AM34" s="530">
        <f>AK34*2</f>
        <v>52</v>
      </c>
      <c r="AN34" s="523">
        <f>SUM([1]บช.ปส.!$AR2:$AR36)</f>
        <v>0</v>
      </c>
      <c r="AO34" s="523">
        <f>SUM([1]บช.ปส.!$AS2:$AS36)</f>
        <v>0</v>
      </c>
      <c r="AP34" s="530">
        <f>AN34*2</f>
        <v>0</v>
      </c>
      <c r="AQ34" s="536">
        <f>SUM([1]สตม.!$AR2:$AR36)</f>
        <v>6</v>
      </c>
      <c r="AR34" s="536">
        <f>SUM([1]สตม.!$AS2:$AS36)</f>
        <v>8</v>
      </c>
      <c r="AS34" s="530">
        <f>AQ34*2</f>
        <v>12</v>
      </c>
      <c r="AT34" s="523">
        <f>SUM([1]บช.ทท.!$AR2:$AR36)</f>
        <v>1</v>
      </c>
      <c r="AU34" s="523">
        <f>SUM([1]บช.ทท.!$AS2:$AS36)</f>
        <v>1</v>
      </c>
      <c r="AV34" s="530">
        <f>AT34*2</f>
        <v>2</v>
      </c>
      <c r="AW34" s="536">
        <f>SUM([1]บช.ตชด.!$AR2:$AR36)</f>
        <v>0</v>
      </c>
      <c r="AX34" s="536">
        <f>SUM([1]บช.ตชด.!$AS2:$AS36)</f>
        <v>0</v>
      </c>
      <c r="AY34" s="530">
        <f>AW34*2</f>
        <v>0</v>
      </c>
      <c r="AZ34" s="525"/>
      <c r="BA34" s="525"/>
      <c r="BB34" s="525"/>
      <c r="BC34" s="525"/>
      <c r="BD34" s="525"/>
      <c r="BE34" s="525"/>
      <c r="BF34" s="525"/>
      <c r="BG34" s="525"/>
      <c r="BH34" s="525"/>
      <c r="BI34" s="525"/>
      <c r="BJ34" s="525"/>
      <c r="BK34" s="525"/>
      <c r="BL34" s="525"/>
      <c r="BM34" s="525"/>
      <c r="BN34" s="525"/>
      <c r="BO34" s="525"/>
      <c r="BP34" s="525"/>
      <c r="BQ34" s="525"/>
      <c r="BR34" s="525"/>
      <c r="BS34" s="525"/>
      <c r="BT34" s="525"/>
      <c r="BU34" s="525"/>
      <c r="BV34" s="525"/>
      <c r="BW34" s="525"/>
      <c r="BX34" s="525"/>
      <c r="BY34" s="525"/>
    </row>
    <row r="35" spans="1:77" s="511" customFormat="1" ht="28.5" thickBot="1">
      <c r="A35" s="563" t="s">
        <v>107</v>
      </c>
      <c r="B35" s="564">
        <f t="shared" si="72"/>
        <v>1</v>
      </c>
      <c r="C35" s="565">
        <f t="shared" si="72"/>
        <v>1</v>
      </c>
      <c r="D35" s="526">
        <f>SUM([1]บช.น.!$AT2:$AT36)</f>
        <v>0</v>
      </c>
      <c r="E35" s="527">
        <f>SUM([1]บช.น.!$AU$2:$AU36)</f>
        <v>0</v>
      </c>
      <c r="F35" s="528">
        <f>D35*5</f>
        <v>0</v>
      </c>
      <c r="G35" s="536">
        <f>SUM([1]ภ.1!$AT2:$AT36)</f>
        <v>1</v>
      </c>
      <c r="H35" s="536">
        <f>SUM([1]ภ.1!$AU$2:$AU36)</f>
        <v>1</v>
      </c>
      <c r="I35" s="522">
        <f>G35*5</f>
        <v>5</v>
      </c>
      <c r="J35" s="523">
        <f>SUM([1]ภ.2!$AT2:$AT36)</f>
        <v>0</v>
      </c>
      <c r="K35" s="523">
        <f>SUM([1]ภ.2!$AU$2:$AU36)</f>
        <v>0</v>
      </c>
      <c r="L35" s="529">
        <f>J35*5</f>
        <v>0</v>
      </c>
      <c r="M35" s="536">
        <f>SUM([1]ภ.3!$AT2:$AT36)</f>
        <v>0</v>
      </c>
      <c r="N35" s="536">
        <f>SUM([1]ภ.3!$AU$2:$AU36)</f>
        <v>0</v>
      </c>
      <c r="O35" s="529">
        <f>M35*5</f>
        <v>0</v>
      </c>
      <c r="P35" s="523">
        <f>SUM([1]ภ.4!$AT2:$AT36)</f>
        <v>0</v>
      </c>
      <c r="Q35" s="523">
        <f>SUM([1]ภ.4!$AU$2:$AU36)</f>
        <v>0</v>
      </c>
      <c r="R35" s="529">
        <f>P35*5</f>
        <v>0</v>
      </c>
      <c r="S35" s="536">
        <f>SUM([1]ภ.5!$AT2:$AT36)</f>
        <v>0</v>
      </c>
      <c r="T35" s="536">
        <f>SUM([1]ภ.5!$AU$2:$AU36)</f>
        <v>0</v>
      </c>
      <c r="U35" s="529">
        <f>S35*5</f>
        <v>0</v>
      </c>
      <c r="V35" s="523">
        <f>SUM([1]ภ.6!$AT2:$AT36)</f>
        <v>0</v>
      </c>
      <c r="W35" s="523">
        <f>SUM([1]ภ.6!$AU$2:$AU36)</f>
        <v>0</v>
      </c>
      <c r="X35" s="529">
        <f>V35*5</f>
        <v>0</v>
      </c>
      <c r="Y35" s="536">
        <f>SUM([1]ภ.7!$AT2:$AT36)</f>
        <v>0</v>
      </c>
      <c r="Z35" s="536">
        <f>SUM([1]ภ.7!$AU$2:$AU36)</f>
        <v>0</v>
      </c>
      <c r="AA35" s="529">
        <f>Y35*5</f>
        <v>0</v>
      </c>
      <c r="AB35" s="523">
        <f>SUM([1]ภ.8!$AT2:$AT36)</f>
        <v>0</v>
      </c>
      <c r="AC35" s="523">
        <f>SUM([1]ภ.8!$AU$2:$AU36)</f>
        <v>0</v>
      </c>
      <c r="AD35" s="529">
        <f>AB35*5</f>
        <v>0</v>
      </c>
      <c r="AE35" s="536">
        <f>SUM([1]ภ.9!$AT2:$AT36)</f>
        <v>0</v>
      </c>
      <c r="AF35" s="536">
        <f>SUM([1]ภ.9!$AU$2:$AU36)</f>
        <v>0</v>
      </c>
      <c r="AG35" s="529">
        <f>AE35*5</f>
        <v>0</v>
      </c>
      <c r="AH35" s="523">
        <f>SUM([1]บช.ก.!$AT2:$AT36)</f>
        <v>0</v>
      </c>
      <c r="AI35" s="523">
        <f>SUM([1]บช.ก.!$AU$2:$AU36)</f>
        <v>0</v>
      </c>
      <c r="AJ35" s="529">
        <f>AH35*5</f>
        <v>0</v>
      </c>
      <c r="AK35" s="536">
        <f>SUM([1]บช.สอท.!$AT2:$AT36)</f>
        <v>0</v>
      </c>
      <c r="AL35" s="536">
        <f>SUM([1]บช.สอท.!$AU$2:$AU36)</f>
        <v>0</v>
      </c>
      <c r="AM35" s="529">
        <f>AK35*5</f>
        <v>0</v>
      </c>
      <c r="AN35" s="523">
        <f>SUM([1]บช.ปส.!$AT2:$AT36)</f>
        <v>0</v>
      </c>
      <c r="AO35" s="523">
        <f>SUM([1]บช.ปส.!$AU$2:$AU36)</f>
        <v>0</v>
      </c>
      <c r="AP35" s="529">
        <f>AN35*5</f>
        <v>0</v>
      </c>
      <c r="AQ35" s="536">
        <f>SUM([1]สตม.!$AT2:$AT36)</f>
        <v>0</v>
      </c>
      <c r="AR35" s="536">
        <f>SUM([1]สตม.!$AU$2:$AU36)</f>
        <v>0</v>
      </c>
      <c r="AS35" s="529">
        <f>AQ35*5</f>
        <v>0</v>
      </c>
      <c r="AT35" s="523">
        <f>SUM([1]บช.ทท.!$AT2:$AT36)</f>
        <v>0</v>
      </c>
      <c r="AU35" s="523">
        <f>SUM([1]บช.ทท.!$AU$2:$AU36)</f>
        <v>0</v>
      </c>
      <c r="AV35" s="529">
        <f>AT35*5</f>
        <v>0</v>
      </c>
      <c r="AW35" s="536">
        <f>SUM([1]บช.ตชด.!$AT2:$AT36)</f>
        <v>0</v>
      </c>
      <c r="AX35" s="536">
        <f>SUM([1]บช.ตชด.!$AU$2:$AU36)</f>
        <v>0</v>
      </c>
      <c r="AY35" s="529">
        <f>AW35*5</f>
        <v>0</v>
      </c>
      <c r="AZ35" s="525"/>
      <c r="BA35" s="525"/>
      <c r="BB35" s="525"/>
      <c r="BC35" s="525"/>
      <c r="BD35" s="525"/>
      <c r="BE35" s="525"/>
      <c r="BF35" s="525"/>
      <c r="BG35" s="525"/>
      <c r="BH35" s="525"/>
      <c r="BI35" s="525"/>
      <c r="BJ35" s="525"/>
      <c r="BK35" s="525"/>
      <c r="BL35" s="525"/>
      <c r="BM35" s="525"/>
      <c r="BN35" s="525"/>
      <c r="BO35" s="525"/>
      <c r="BP35" s="525"/>
      <c r="BQ35" s="525"/>
      <c r="BR35" s="525"/>
      <c r="BS35" s="525"/>
      <c r="BT35" s="525"/>
      <c r="BU35" s="525"/>
      <c r="BV35" s="525"/>
      <c r="BW35" s="525"/>
      <c r="BX35" s="525"/>
      <c r="BY35" s="525"/>
    </row>
    <row r="36" spans="1:77" s="511" customFormat="1" ht="28.5" thickBot="1">
      <c r="A36" s="563" t="s">
        <v>108</v>
      </c>
      <c r="B36" s="564">
        <f t="shared" si="72"/>
        <v>13</v>
      </c>
      <c r="C36" s="565">
        <f t="shared" si="72"/>
        <v>23</v>
      </c>
      <c r="D36" s="526">
        <f>SUM([1]บช.น.!$AV2:$AV36)</f>
        <v>0</v>
      </c>
      <c r="E36" s="527">
        <f>SUM([1]บช.น.!$AW2:$AW36)</f>
        <v>0</v>
      </c>
      <c r="F36" s="528">
        <f>D36*2</f>
        <v>0</v>
      </c>
      <c r="G36" s="536">
        <f>SUM([1]ภ.1!$AV2:$AV36)</f>
        <v>0</v>
      </c>
      <c r="H36" s="536">
        <f>SUM([1]ภ.1!$AW2:$AW36)</f>
        <v>0</v>
      </c>
      <c r="I36" s="522">
        <f>G36*2</f>
        <v>0</v>
      </c>
      <c r="J36" s="523">
        <f>SUM([1]ภ.2!$AV2:$AV36)</f>
        <v>0</v>
      </c>
      <c r="K36" s="523">
        <f>SUM([1]ภ.2!$AW2:$AW36)</f>
        <v>0</v>
      </c>
      <c r="L36" s="530">
        <f>J36*2</f>
        <v>0</v>
      </c>
      <c r="M36" s="536">
        <f>SUM([1]ภ.3!$AV2:$AV36)</f>
        <v>0</v>
      </c>
      <c r="N36" s="536">
        <f>SUM([1]ภ.3!$AW2:$AW36)</f>
        <v>0</v>
      </c>
      <c r="O36" s="530">
        <f>M36*2</f>
        <v>0</v>
      </c>
      <c r="P36" s="523">
        <f>SUM([1]ภ.4!$AV2:$AV36)</f>
        <v>1</v>
      </c>
      <c r="Q36" s="523">
        <f>SUM([1]ภ.4!$AW2:$AW36)</f>
        <v>1</v>
      </c>
      <c r="R36" s="530">
        <f>P36*2</f>
        <v>2</v>
      </c>
      <c r="S36" s="536">
        <f>SUM([1]ภ.5!$AV2:$AV36)</f>
        <v>0</v>
      </c>
      <c r="T36" s="536">
        <f>SUM([1]ภ.5!$AW2:$AW36)</f>
        <v>0</v>
      </c>
      <c r="U36" s="530">
        <f>S36*2</f>
        <v>0</v>
      </c>
      <c r="V36" s="523">
        <f>SUM([1]ภ.6!$AV2:$AV36)</f>
        <v>1</v>
      </c>
      <c r="W36" s="523">
        <f>SUM([1]ภ.6!$AW2:$AW36)</f>
        <v>2</v>
      </c>
      <c r="X36" s="530">
        <f>V36*2</f>
        <v>2</v>
      </c>
      <c r="Y36" s="536">
        <f>SUM([1]ภ.7!$AV2:$AV36)</f>
        <v>0</v>
      </c>
      <c r="Z36" s="536">
        <f>SUM([1]ภ.7!$AW2:$AW36)</f>
        <v>0</v>
      </c>
      <c r="AA36" s="530">
        <f>Y36*2</f>
        <v>0</v>
      </c>
      <c r="AB36" s="523">
        <f>SUM([1]ภ.8!$AV2:$AV36)</f>
        <v>1</v>
      </c>
      <c r="AC36" s="523">
        <f>SUM([1]ภ.8!$AW2:$AW36)</f>
        <v>1</v>
      </c>
      <c r="AD36" s="530">
        <f>AB36*2</f>
        <v>2</v>
      </c>
      <c r="AE36" s="536">
        <f>SUM([1]ภ.9!$AV2:$AV36)</f>
        <v>0</v>
      </c>
      <c r="AF36" s="536">
        <f>SUM([1]ภ.9!$AW2:$AW36)</f>
        <v>0</v>
      </c>
      <c r="AG36" s="530">
        <f>AE36*2</f>
        <v>0</v>
      </c>
      <c r="AH36" s="523">
        <f>SUM([1]บช.ก.!$AV2:$AV36)</f>
        <v>10</v>
      </c>
      <c r="AI36" s="523">
        <f>SUM([1]บช.ก.!$AW2:$AW36)</f>
        <v>19</v>
      </c>
      <c r="AJ36" s="530">
        <f>AH36*2</f>
        <v>20</v>
      </c>
      <c r="AK36" s="536">
        <f>SUM([1]บช.สอท.!$AV2:$AV36)</f>
        <v>0</v>
      </c>
      <c r="AL36" s="536">
        <f>SUM([1]บช.สอท.!$AW2:$AW36)</f>
        <v>0</v>
      </c>
      <c r="AM36" s="530">
        <f>AK36*2</f>
        <v>0</v>
      </c>
      <c r="AN36" s="523">
        <f>SUM([1]บช.ปส.!$AV2:$AV36)</f>
        <v>0</v>
      </c>
      <c r="AO36" s="523">
        <f>SUM([1]บช.ปส.!$AW2:$AW36)</f>
        <v>0</v>
      </c>
      <c r="AP36" s="530">
        <f>AN36*2</f>
        <v>0</v>
      </c>
      <c r="AQ36" s="536">
        <f>SUM([1]สตม.!$AV2:$AV36)</f>
        <v>0</v>
      </c>
      <c r="AR36" s="536">
        <f>SUM([1]สตม.!$AW2:$AW36)</f>
        <v>0</v>
      </c>
      <c r="AS36" s="530">
        <f>AQ36*2</f>
        <v>0</v>
      </c>
      <c r="AT36" s="523">
        <f>SUM([1]บช.ทท.!$AV2:$AV36)</f>
        <v>0</v>
      </c>
      <c r="AU36" s="523">
        <f>SUM([1]บช.ทท.!$AW2:$AW36)</f>
        <v>0</v>
      </c>
      <c r="AV36" s="530">
        <f>AT36*2</f>
        <v>0</v>
      </c>
      <c r="AW36" s="536">
        <f>SUM([1]บช.ตชด.!$AV2:$AV36)</f>
        <v>0</v>
      </c>
      <c r="AX36" s="536">
        <f>SUM([1]บช.ตชด.!$AW2:$AW36)</f>
        <v>0</v>
      </c>
      <c r="AY36" s="530">
        <f>AW36*2</f>
        <v>0</v>
      </c>
      <c r="AZ36" s="525"/>
      <c r="BA36" s="525"/>
      <c r="BB36" s="525"/>
      <c r="BC36" s="525"/>
      <c r="BD36" s="525"/>
      <c r="BE36" s="525"/>
      <c r="BF36" s="525"/>
      <c r="BG36" s="525"/>
      <c r="BH36" s="525"/>
      <c r="BI36" s="525"/>
      <c r="BJ36" s="525"/>
      <c r="BK36" s="525"/>
      <c r="BL36" s="525"/>
      <c r="BM36" s="525"/>
      <c r="BN36" s="525"/>
      <c r="BO36" s="525"/>
      <c r="BP36" s="525"/>
      <c r="BQ36" s="525"/>
      <c r="BR36" s="525"/>
      <c r="BS36" s="525"/>
      <c r="BT36" s="525"/>
      <c r="BU36" s="525"/>
      <c r="BV36" s="525"/>
      <c r="BW36" s="525"/>
      <c r="BX36" s="525"/>
      <c r="BY36" s="525"/>
    </row>
    <row r="37" spans="1:77" s="538" customFormat="1" ht="28.5" thickBot="1">
      <c r="A37" s="570" t="s">
        <v>32</v>
      </c>
      <c r="B37" s="571">
        <f t="shared" ref="B37:AY37" si="73">SUM(B34:B36)</f>
        <v>100</v>
      </c>
      <c r="C37" s="572">
        <f t="shared" si="73"/>
        <v>136</v>
      </c>
      <c r="D37" s="512">
        <f t="shared" si="73"/>
        <v>1</v>
      </c>
      <c r="E37" s="513">
        <f t="shared" si="73"/>
        <v>1</v>
      </c>
      <c r="F37" s="514">
        <f t="shared" si="73"/>
        <v>2</v>
      </c>
      <c r="G37" s="516">
        <f t="shared" si="73"/>
        <v>12</v>
      </c>
      <c r="H37" s="516">
        <f t="shared" si="73"/>
        <v>19</v>
      </c>
      <c r="I37" s="516">
        <f t="shared" si="73"/>
        <v>27</v>
      </c>
      <c r="J37" s="516">
        <f t="shared" si="73"/>
        <v>3</v>
      </c>
      <c r="K37" s="516">
        <f t="shared" si="73"/>
        <v>7</v>
      </c>
      <c r="L37" s="515">
        <f t="shared" si="73"/>
        <v>6</v>
      </c>
      <c r="M37" s="516">
        <f t="shared" si="73"/>
        <v>15</v>
      </c>
      <c r="N37" s="516">
        <f t="shared" si="73"/>
        <v>15</v>
      </c>
      <c r="O37" s="515">
        <f t="shared" si="73"/>
        <v>30</v>
      </c>
      <c r="P37" s="516">
        <f t="shared" si="73"/>
        <v>7</v>
      </c>
      <c r="Q37" s="516">
        <f t="shared" si="73"/>
        <v>7</v>
      </c>
      <c r="R37" s="515">
        <f t="shared" si="73"/>
        <v>14</v>
      </c>
      <c r="S37" s="516">
        <f t="shared" si="73"/>
        <v>2</v>
      </c>
      <c r="T37" s="516">
        <f t="shared" si="73"/>
        <v>3</v>
      </c>
      <c r="U37" s="515">
        <f t="shared" si="73"/>
        <v>4</v>
      </c>
      <c r="V37" s="516">
        <f t="shared" si="73"/>
        <v>2</v>
      </c>
      <c r="W37" s="516">
        <f t="shared" si="73"/>
        <v>3</v>
      </c>
      <c r="X37" s="515">
        <f t="shared" si="73"/>
        <v>4</v>
      </c>
      <c r="Y37" s="516">
        <f t="shared" si="73"/>
        <v>7</v>
      </c>
      <c r="Z37" s="516">
        <f t="shared" si="73"/>
        <v>7</v>
      </c>
      <c r="AA37" s="515">
        <f t="shared" si="73"/>
        <v>14</v>
      </c>
      <c r="AB37" s="516">
        <f t="shared" si="73"/>
        <v>6</v>
      </c>
      <c r="AC37" s="516">
        <f t="shared" si="73"/>
        <v>6</v>
      </c>
      <c r="AD37" s="515">
        <f t="shared" si="73"/>
        <v>12</v>
      </c>
      <c r="AE37" s="516">
        <f t="shared" si="73"/>
        <v>2</v>
      </c>
      <c r="AF37" s="516">
        <f t="shared" si="73"/>
        <v>4</v>
      </c>
      <c r="AG37" s="515">
        <f t="shared" si="73"/>
        <v>4</v>
      </c>
      <c r="AH37" s="516">
        <f t="shared" si="73"/>
        <v>10</v>
      </c>
      <c r="AI37" s="516">
        <f t="shared" si="73"/>
        <v>19</v>
      </c>
      <c r="AJ37" s="515">
        <f t="shared" si="73"/>
        <v>20</v>
      </c>
      <c r="AK37" s="516">
        <f t="shared" si="73"/>
        <v>26</v>
      </c>
      <c r="AL37" s="516">
        <f t="shared" si="73"/>
        <v>36</v>
      </c>
      <c r="AM37" s="515">
        <f t="shared" si="73"/>
        <v>52</v>
      </c>
      <c r="AN37" s="516">
        <f t="shared" si="73"/>
        <v>0</v>
      </c>
      <c r="AO37" s="516">
        <f t="shared" si="73"/>
        <v>0</v>
      </c>
      <c r="AP37" s="515">
        <f t="shared" si="73"/>
        <v>0</v>
      </c>
      <c r="AQ37" s="516">
        <f t="shared" si="73"/>
        <v>6</v>
      </c>
      <c r="AR37" s="516">
        <f t="shared" si="73"/>
        <v>8</v>
      </c>
      <c r="AS37" s="515">
        <f t="shared" si="73"/>
        <v>12</v>
      </c>
      <c r="AT37" s="516">
        <f t="shared" si="73"/>
        <v>1</v>
      </c>
      <c r="AU37" s="516">
        <f t="shared" si="73"/>
        <v>1</v>
      </c>
      <c r="AV37" s="515">
        <f t="shared" si="73"/>
        <v>2</v>
      </c>
      <c r="AW37" s="516">
        <f t="shared" si="73"/>
        <v>0</v>
      </c>
      <c r="AX37" s="516">
        <f t="shared" si="73"/>
        <v>0</v>
      </c>
      <c r="AY37" s="515">
        <f t="shared" si="73"/>
        <v>0</v>
      </c>
      <c r="AZ37" s="518"/>
      <c r="BA37" s="518"/>
      <c r="BB37" s="518"/>
      <c r="BC37" s="518"/>
      <c r="BD37" s="518"/>
      <c r="BE37" s="518"/>
      <c r="BF37" s="518"/>
      <c r="BG37" s="518"/>
      <c r="BH37" s="518"/>
      <c r="BI37" s="518"/>
      <c r="BJ37" s="518"/>
      <c r="BK37" s="518"/>
      <c r="BL37" s="518"/>
      <c r="BM37" s="518"/>
      <c r="BN37" s="518"/>
      <c r="BO37" s="518"/>
      <c r="BP37" s="518"/>
      <c r="BQ37" s="518"/>
      <c r="BR37" s="518"/>
      <c r="BS37" s="518"/>
      <c r="BT37" s="518"/>
      <c r="BU37" s="518"/>
      <c r="BV37" s="518"/>
      <c r="BW37" s="518"/>
      <c r="BX37" s="518"/>
      <c r="BY37" s="518"/>
    </row>
    <row r="38" spans="1:77" ht="36.6" customHeight="1" thickBot="1">
      <c r="A38" s="573" t="s">
        <v>115</v>
      </c>
      <c r="B38" s="574">
        <f>SUM(B11,B19,B25,B32,B37)</f>
        <v>428</v>
      </c>
      <c r="C38" s="574">
        <f>SUM(C11,C19,C25,C32,C37)</f>
        <v>459</v>
      </c>
      <c r="L38" s="317"/>
      <c r="O38" s="317"/>
      <c r="R38" s="317"/>
      <c r="U38" s="317"/>
      <c r="X38" s="317"/>
      <c r="AA38" s="317"/>
      <c r="AD38" s="317"/>
      <c r="AG38" s="317"/>
      <c r="AJ38" s="317"/>
      <c r="AM38" s="317"/>
      <c r="AP38" s="317"/>
      <c r="AS38" s="317"/>
      <c r="AV38" s="317"/>
      <c r="AY38" s="317"/>
    </row>
  </sheetData>
  <mergeCells count="22">
    <mergeCell ref="B3:C3"/>
    <mergeCell ref="A4:A5"/>
    <mergeCell ref="D3:I3"/>
    <mergeCell ref="B4:C4"/>
    <mergeCell ref="D4:F4"/>
    <mergeCell ref="G4:I4"/>
    <mergeCell ref="AT4:AV4"/>
    <mergeCell ref="AW4:AY4"/>
    <mergeCell ref="A1:C1"/>
    <mergeCell ref="A2:C2"/>
    <mergeCell ref="AB4:AD4"/>
    <mergeCell ref="AE4:AG4"/>
    <mergeCell ref="AH4:AJ4"/>
    <mergeCell ref="AK4:AM4"/>
    <mergeCell ref="AN4:AP4"/>
    <mergeCell ref="AQ4:AS4"/>
    <mergeCell ref="J4:L4"/>
    <mergeCell ref="M4:O4"/>
    <mergeCell ref="P4:R4"/>
    <mergeCell ref="S4:U4"/>
    <mergeCell ref="V4:X4"/>
    <mergeCell ref="Y4:AA4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47</vt:i4>
      </vt:variant>
      <vt:variant>
        <vt:lpstr>ช่วงที่มีชื่อ</vt:lpstr>
      </vt:variant>
      <vt:variant>
        <vt:i4>6</vt:i4>
      </vt:variant>
    </vt:vector>
  </HeadingPairs>
  <TitlesOfParts>
    <vt:vector size="53" baseType="lpstr">
      <vt:lpstr>Total ReportOld</vt:lpstr>
      <vt:lpstr>รวมคะแนน</vt:lpstr>
      <vt:lpstr>สรุปคะแนน</vt:lpstr>
      <vt:lpstr>ทั่วไป</vt:lpstr>
      <vt:lpstr>เทคโนโลยี</vt:lpstr>
      <vt:lpstr>ชาร์ตคะแนน</vt:lpstr>
      <vt:lpstr>สรุป 1+2</vt:lpstr>
      <vt:lpstr>สรุป 1</vt:lpstr>
      <vt:lpstr>สรุป 2</vt:lpstr>
      <vt:lpstr>24</vt:lpstr>
      <vt:lpstr>25</vt:lpstr>
      <vt:lpstr>26</vt:lpstr>
      <vt:lpstr>27</vt:lpstr>
      <vt:lpstr>28</vt:lpstr>
      <vt:lpstr>บช.น.</vt:lpstr>
      <vt:lpstr>Test</vt:lpstr>
      <vt:lpstr>dบช.น.</vt:lpstr>
      <vt:lpstr>ภ.1</vt:lpstr>
      <vt:lpstr>ภ.2</vt:lpstr>
      <vt:lpstr>ภ.3</vt:lpstr>
      <vt:lpstr>ภ.4</vt:lpstr>
      <vt:lpstr>ภ.5</vt:lpstr>
      <vt:lpstr>ภ.6</vt:lpstr>
      <vt:lpstr>ภ.7</vt:lpstr>
      <vt:lpstr>ภ.8</vt:lpstr>
      <vt:lpstr>ภ.9</vt:lpstr>
      <vt:lpstr>บช.ก.</vt:lpstr>
      <vt:lpstr>บช.สอท.</vt:lpstr>
      <vt:lpstr>บช.ปส.</vt:lpstr>
      <vt:lpstr>สตม.</vt:lpstr>
      <vt:lpstr>บช.ทท.</vt:lpstr>
      <vt:lpstr>บช.ตชด.</vt:lpstr>
      <vt:lpstr>dภ.1</vt:lpstr>
      <vt:lpstr>dภ.2</vt:lpstr>
      <vt:lpstr>dภ.3</vt:lpstr>
      <vt:lpstr>dภ.4</vt:lpstr>
      <vt:lpstr>dภ.5</vt:lpstr>
      <vt:lpstr>dภ.6</vt:lpstr>
      <vt:lpstr>dภ.7</vt:lpstr>
      <vt:lpstr>dภ.8</vt:lpstr>
      <vt:lpstr>dภ.9</vt:lpstr>
      <vt:lpstr>dบช.ก.</vt:lpstr>
      <vt:lpstr>dบช.สอท.</vt:lpstr>
      <vt:lpstr>dบช.ปส.</vt:lpstr>
      <vt:lpstr>dสตม.</vt:lpstr>
      <vt:lpstr>dบช.ทท.</vt:lpstr>
      <vt:lpstr>dบช.ตชด.</vt:lpstr>
      <vt:lpstr>เทคโนโลยี!Print_Area</vt:lpstr>
      <vt:lpstr>'สรุป 1'!Print_Area</vt:lpstr>
      <vt:lpstr>'สรุป 2'!Print_Area</vt:lpstr>
      <vt:lpstr>สรุปคะแนน!Print_Area</vt:lpstr>
      <vt:lpstr>เทคโนโลยี!Print_Titles</vt:lpstr>
      <vt:lpstr>รวมคะแนน!Print_Titles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supaporn</dc:creator>
  <cp:lastModifiedBy>RTP</cp:lastModifiedBy>
  <cp:lastPrinted>2021-10-08T06:58:20Z</cp:lastPrinted>
  <dcterms:created xsi:type="dcterms:W3CDTF">2021-10-01T02:00:07Z</dcterms:created>
  <dcterms:modified xsi:type="dcterms:W3CDTF">2021-10-19T10:37:49Z</dcterms:modified>
</cp:coreProperties>
</file>